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155" windowHeight="6795" tabRatio="800" activeTab="9"/>
  </bookViews>
  <sheets>
    <sheet name="App23" sheetId="1" r:id="rId1"/>
    <sheet name="Cover" sheetId="2" r:id="rId2"/>
    <sheet name="Change Log" sheetId="3" r:id="rId3"/>
    <sheet name="Map &amp; Key" sheetId="4" r:id="rId4"/>
    <sheet name="F_Inputs" sheetId="5" r:id="rId5"/>
    <sheet name="Inputs" sheetId="6" r:id="rId6"/>
    <sheet name="Time" sheetId="7" r:id="rId7"/>
    <sheet name="Indexation" sheetId="8" r:id="rId8"/>
    <sheet name="Calc" sheetId="9" r:id="rId9"/>
    <sheet name="Summary_Output" sheetId="10" r:id="rId10"/>
    <sheet name="F_Outputs" sheetId="11" r:id="rId11"/>
  </sheets>
  <externalReferences>
    <externalReference r:id="rId14"/>
    <externalReference r:id="rId15"/>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_xlfn.IFERROR" hidden="1">#NAME?</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'App23'!$B$1:$AB$79</definedName>
    <definedName name="_xlnm.Print_Area" localSheetId="8">'Calc'!$A$1:$U$436</definedName>
    <definedName name="_xlnm.Print_Area" localSheetId="2">'Change Log'!$A$1:$F$13</definedName>
    <definedName name="_xlnm.Print_Area" localSheetId="1">'Cover'!$A$1:$I$20</definedName>
    <definedName name="_xlnm.Print_Area" localSheetId="4">'F_Inputs'!$A$1:$R$56</definedName>
    <definedName name="_xlnm.Print_Area" localSheetId="10">'F_Outputs'!$A$1:$H$82</definedName>
    <definedName name="_xlnm.Print_Area" localSheetId="7">'Indexation'!$A$1:$U$98</definedName>
    <definedName name="_xlnm.Print_Area" localSheetId="5">'Inputs'!$1:$140</definedName>
    <definedName name="_xlnm.Print_Area" localSheetId="3">'Map &amp; Key'!$A$1:$AA$121</definedName>
    <definedName name="_xlnm.Print_Area" localSheetId="9">'Summary_Output'!$A$1:$U$103</definedName>
    <definedName name="_xlnm.Print_Area" localSheetId="6">'Time'!$A$1:$U$97</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fullCalcOnLoad="1"/>
</workbook>
</file>

<file path=xl/sharedStrings.xml><?xml version="1.0" encoding="utf-8"?>
<sst xmlns="http://schemas.openxmlformats.org/spreadsheetml/2006/main" count="1614" uniqueCount="824">
  <si>
    <t>Model name:</t>
  </si>
  <si>
    <t>PR19 RCV adjustments feeder model</t>
  </si>
  <si>
    <t>Version number:</t>
  </si>
  <si>
    <t>01s - July 2018 update</t>
  </si>
  <si>
    <t>Filename:</t>
  </si>
  <si>
    <t>Date:</t>
  </si>
  <si>
    <t>Author:</t>
  </si>
  <si>
    <t>Ofwat and F1F9 UK Ltd</t>
  </si>
  <si>
    <t>Author contact information:</t>
  </si>
  <si>
    <t>PR19@ofwat.gsi.gov.uk</t>
  </si>
  <si>
    <t>Summary of model:</t>
  </si>
  <si>
    <t>Known limitations:</t>
  </si>
  <si>
    <t xml:space="preserve">The model has been subject to internal Ofwat quality assurance. </t>
  </si>
  <si>
    <t>Feedback:</t>
  </si>
  <si>
    <r>
      <t xml:space="preserve">We would welcome feedback on the PR19 RCV adjustments feeder model. </t>
    </r>
    <r>
      <rPr>
        <b/>
        <sz val="12"/>
        <color indexed="8"/>
        <rFont val="Franklin Gothic Book"/>
        <family val="2"/>
      </rPr>
      <t>Please send any feedback to the following email address</t>
    </r>
  </si>
  <si>
    <t>End of sheet</t>
  </si>
  <si>
    <t>Change log</t>
  </si>
  <si>
    <t>#</t>
  </si>
  <si>
    <t>Issue</t>
  </si>
  <si>
    <t>Change</t>
  </si>
  <si>
    <t>Sheet</t>
  </si>
  <si>
    <t>Row</t>
  </si>
  <si>
    <t>Company noted that the Ofwat feeder model incorrectly deflates prices from 2020 year end prices to 2017-18 financial year average prices by referencing the RPI March index value in the numerator.</t>
  </si>
  <si>
    <t>Corrected calculation of the deflation factor to reference CPIH March 2020 index value.</t>
  </si>
  <si>
    <t>Indexation</t>
  </si>
  <si>
    <t xml:space="preserve">Companies noted differences in item labels between the Ofwat feeder model and the business plan tables </t>
  </si>
  <si>
    <t>Item labels have been aligned with the business plan tables</t>
  </si>
  <si>
    <t>Calc
Summary_Output</t>
  </si>
  <si>
    <t xml:space="preserve">Some business plan tables require RCV items in 2017-18 FYE (financial year end) CPIH deflated price base.  </t>
  </si>
  <si>
    <t>Add 2017-18 FYE CPIH deflation factor</t>
  </si>
  <si>
    <t>Add the 2017-18 FYE CPIH deflated items to the Calc and Summary_Output sheet</t>
  </si>
  <si>
    <t>Line descriptions for the CIS RCV inflation correction items are not consistent with business plan tables.</t>
  </si>
  <si>
    <t>Item labels have been aligned with the business plan tables App8 and App25.</t>
  </si>
  <si>
    <t>Inputs
Calc
Summary_Output</t>
  </si>
  <si>
    <t>IN 18/09 Guidance for reporting operating leases in PR19 business plans.
The RCV adjustment calculated for each wholesale control in business plan table App33 flows to business plan table App8. The RCV adjustments feeder model has been updated to reflect the revisions to table App8.</t>
  </si>
  <si>
    <t>Include the new IFRS16 related RCV adjustments in the calculation of the opening balances for the 2020 RCV RPI inflated and 2020 RCV CPIH inflated RCV.</t>
  </si>
  <si>
    <t>Inputs
Indexation
Calc
Summary_Output</t>
  </si>
  <si>
    <t>In response to a query a new business plan table has been created. The Ofwat feeder model has been updated to reflect the additional table Dmmy10.</t>
  </si>
  <si>
    <t>Include the Dmmy10 RCV adjustment in the calculation of the opening balances for the dummy price control 2020 RCV RPI inflated and 2020 RCV CPIH inflated RCV.</t>
  </si>
  <si>
    <t>Change email address</t>
  </si>
  <si>
    <t>Changed from water2020 mailbox to PR19 mailbox</t>
  </si>
  <si>
    <t>Cover</t>
  </si>
  <si>
    <t>In response to a query the Ofwat feeder model has been updated to reflect additional block for the dummy control in table App9 and an additional line for the dummy control in table App8.</t>
  </si>
  <si>
    <t>Include the additional RCV adjustments for the dummy control in the calculation of the opening balances for the dummy price control 2020 RCV RPI inflated and 2020 RCV CPIH inflated RCV.</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</si>
  <si>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</si>
  <si>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</si>
  <si>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</si>
  <si>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</si>
  <si>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</si>
  <si>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</si>
  <si>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</si>
  <si>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</si>
  <si>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</si>
  <si>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</si>
  <si>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INPUTS</t>
  </si>
  <si>
    <t>CALCULATIONS</t>
  </si>
  <si>
    <t>DOCUMENTATION</t>
  </si>
  <si>
    <t>All the hardcoded inputs used in the model for calculation.</t>
  </si>
  <si>
    <t>The model timeline and flag calculations are done in this sheet.</t>
  </si>
  <si>
    <t>A summary of links of major output of this model.</t>
  </si>
  <si>
    <t>Sheet references and model flow; Sheet tabs colours, colour coding, abbreviations, range names are mentioned in this sheet.</t>
  </si>
  <si>
    <t>All the indexation related calculations are done in this sheet.</t>
  </si>
  <si>
    <t>All the price regulations related calculations are done in this sheet.</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</si>
  <si>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</si>
  <si>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</si>
  <si>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</si>
  <si>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</si>
  <si>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</si>
  <si>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</si>
  <si>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</si>
  <si>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</si>
  <si>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</si>
  <si>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</si>
  <si>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</si>
  <si>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</si>
  <si>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</si>
  <si>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</si>
  <si>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</si>
  <si>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</si>
  <si>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</si>
  <si>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</si>
  <si>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</si>
  <si>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</si>
  <si>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</si>
  <si>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</si>
  <si>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</si>
  <si>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</si>
  <si>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</si>
  <si>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</si>
  <si>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</si>
  <si>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</si>
  <si>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</si>
  <si>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</si>
  <si>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</si>
  <si>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</si>
  <si>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</si>
  <si>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</si>
  <si>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</si>
  <si>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</si>
  <si>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</si>
  <si>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</si>
  <si>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</si>
  <si>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</si>
  <si>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</si>
  <si>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</si>
  <si>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</si>
  <si>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</si>
  <si>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</si>
  <si>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</si>
  <si>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BR</t>
  </si>
  <si>
    <t>Bio resources</t>
  </si>
  <si>
    <t>CPIH</t>
  </si>
  <si>
    <t>Consumer price index housing</t>
  </si>
  <si>
    <t>RCV</t>
  </si>
  <si>
    <t>Regulatory capital value</t>
  </si>
  <si>
    <t>RPI</t>
  </si>
  <si>
    <t>Retail price index</t>
  </si>
  <si>
    <t>WR</t>
  </si>
  <si>
    <t>Water resources</t>
  </si>
  <si>
    <t>WN</t>
  </si>
  <si>
    <t>Water network</t>
  </si>
  <si>
    <t>WWN</t>
  </si>
  <si>
    <t>Wastewater network</t>
  </si>
  <si>
    <t>NAMES</t>
  </si>
  <si>
    <t>NO NAME RANGES PRESENT IN THE MODEL</t>
  </si>
  <si>
    <t>LIST OF FUNCTIONS USED</t>
  </si>
  <si>
    <t>SUMPRODUCT</t>
  </si>
  <si>
    <t>Multiplies corresponding components in the given arrays, and returns the sum of those products.</t>
  </si>
  <si>
    <t>MATCH</t>
  </si>
  <si>
    <t>The MATCH function searches for a specified item in a range of cells, and then returns the relative position of that item in the range.</t>
  </si>
  <si>
    <t>INDEX</t>
  </si>
  <si>
    <t>Returns a value or the reference to a value from within a table or range, selected by the row and column number indexes</t>
  </si>
  <si>
    <t>Input references</t>
  </si>
  <si>
    <t>Constant</t>
  </si>
  <si>
    <t>Unit</t>
  </si>
  <si>
    <t>Total</t>
  </si>
  <si>
    <t>[Used in formula range - Do not delete]</t>
  </si>
  <si>
    <t>A: TIME</t>
  </si>
  <si>
    <t>Timeline setup</t>
  </si>
  <si>
    <t>Timeline start dates</t>
  </si>
  <si>
    <t>1st model column start date</t>
  </si>
  <si>
    <t>date</t>
  </si>
  <si>
    <t>Date should be the first date of the financial year</t>
  </si>
  <si>
    <t>Financial year inputs</t>
  </si>
  <si>
    <t>First modelling column financial year#</t>
  </si>
  <si>
    <t>year #</t>
  </si>
  <si>
    <t>Financial model start year</t>
  </si>
  <si>
    <t>Financial year end month number</t>
  </si>
  <si>
    <t>month #</t>
  </si>
  <si>
    <t>Month of financial year end for financial model</t>
  </si>
  <si>
    <t>Timeline labels</t>
  </si>
  <si>
    <t>Pre - forecast period</t>
  </si>
  <si>
    <t>Pre-Fcst</t>
  </si>
  <si>
    <t>label</t>
  </si>
  <si>
    <t>Forecast period</t>
  </si>
  <si>
    <t>Forecast</t>
  </si>
  <si>
    <t>Post - forecast period</t>
  </si>
  <si>
    <t>Post-Fcst</t>
  </si>
  <si>
    <t>Project dates</t>
  </si>
  <si>
    <t>Forecast start date</t>
  </si>
  <si>
    <t>Forecast duration</t>
  </si>
  <si>
    <t>years</t>
  </si>
  <si>
    <t>Forecast duration (text)</t>
  </si>
  <si>
    <t>years #</t>
  </si>
  <si>
    <t>B: INDEXATION</t>
  </si>
  <si>
    <t>CPIH INDEXATION</t>
  </si>
  <si>
    <t>Consumer Price Index for April</t>
  </si>
  <si>
    <t>index</t>
  </si>
  <si>
    <t>Consumer Price Index for May</t>
  </si>
  <si>
    <t>Consumer Price Index for June</t>
  </si>
  <si>
    <t>Consumer Price Index for July</t>
  </si>
  <si>
    <t>Consumer Price Index for August</t>
  </si>
  <si>
    <t>Consumer Price Index for September</t>
  </si>
  <si>
    <t>Consumer Price Index for October</t>
  </si>
  <si>
    <t>Consumer Price Index for November</t>
  </si>
  <si>
    <t>Consumer Price Index for December</t>
  </si>
  <si>
    <t>Consumer Price Index for January</t>
  </si>
  <si>
    <t>Consumer Price Index for February</t>
  </si>
  <si>
    <t>Consumer Price Index for March</t>
  </si>
  <si>
    <t>CPIH: Assumed percentage increase for unpopulated monthly values</t>
  </si>
  <si>
    <t>%</t>
  </si>
  <si>
    <t>RPI INDEXATION</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</si>
  <si>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</si>
  <si>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</si>
  <si>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</si>
  <si>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</si>
  <si>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</si>
  <si>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</si>
  <si>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</si>
  <si>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</si>
  <si>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</si>
  <si>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</si>
  <si>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</si>
  <si>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Retail Price Index for March</t>
  </si>
  <si>
    <t>RPI: Assumed percentage increase for unpopulated monthly values</t>
  </si>
  <si>
    <t>Inflation</t>
  </si>
  <si>
    <t>Year reference for FYA base price 1</t>
  </si>
  <si>
    <t>Year reference for FYA base price 2</t>
  </si>
  <si>
    <t>Year reference for FYE base price</t>
  </si>
  <si>
    <t>Year reference for FYE end price</t>
  </si>
  <si>
    <t>Deflation</t>
  </si>
  <si>
    <t>Year reference for FYA end price</t>
  </si>
  <si>
    <t>Year reference for FYE base price - IFRS 16</t>
  </si>
  <si>
    <t>C: RCV INPUTS</t>
  </si>
  <si>
    <t>Water services</t>
  </si>
  <si>
    <t>Wholesale water closing RCV at 31 March 2020 (from PR14 FD)</t>
  </si>
  <si>
    <t>£m</t>
  </si>
  <si>
    <t>2012/13 FYA</t>
  </si>
  <si>
    <t>Water ~ Total Adjustment RCV carry forward to PR19</t>
  </si>
  <si>
    <t>Water ~ CIS RCV inflation correction</t>
  </si>
  <si>
    <t>Net performance payment / (penalty) applied to RCV for end of period ODI adjustments ~ Water resources</t>
  </si>
  <si>
    <t>Net performance payment / (penalty) applied to RCV for end of period ODI adjustments ~ Water network plus</t>
  </si>
  <si>
    <t>Water: RCV adjustment from totex menu model</t>
  </si>
  <si>
    <t>Water ~ Other adjustment to wholesale RCV</t>
  </si>
  <si>
    <t>2017/18 FYE</t>
  </si>
  <si>
    <t>Water ~ NPV effect of 50% of proceeds from disposals of interest in land</t>
  </si>
  <si>
    <t>2017/18 FYA</t>
  </si>
  <si>
    <t>% of RCV to index by RPI - water services</t>
  </si>
  <si>
    <t>Water resources % of total wholesale water RCV ~ 31 March 2020</t>
  </si>
  <si>
    <t>Water network plus % of total wholesale water RCV ~ 31 March 2020</t>
  </si>
  <si>
    <t>Water resources IFRS16 RCV adjustment</t>
  </si>
  <si>
    <t>Water network plus IFRS16 RCV adjustment</t>
  </si>
  <si>
    <t>Wastewater services</t>
  </si>
  <si>
    <t>Wholesale wastewater closing RCV at 31 March 2020 in 2012-13 prices (PR14 FD)</t>
  </si>
  <si>
    <t>Wastewater ~ Total Adjustment RCV carry forward to PR19</t>
  </si>
  <si>
    <t>Wastewater ~ CIS RCV inflation correction</t>
  </si>
  <si>
    <t>Net performance payment / (penalty) applied to RCV for end of period ODI adjustments ~ Wastewater network plus</t>
  </si>
  <si>
    <t>Wastewater: RCV adjustment from totex menu model</t>
  </si>
  <si>
    <t>Wastewater ~ Other adjustment to wholesale RCV</t>
  </si>
  <si>
    <t>Wastewater ~ NPV effect of 50% of proceeds from disposals of interest in land</t>
  </si>
  <si>
    <t>% of RCV to index by RPI - wastewater services</t>
  </si>
  <si>
    <t>Bioresources RCV (prior to midnight adjustments) 31 March 2020</t>
  </si>
  <si>
    <t>Bioresources IFRS16 RCV adjustment</t>
  </si>
  <si>
    <t>Wastewater network plus IFRS16 RCV adjustment</t>
  </si>
  <si>
    <t>Dummy RCV</t>
  </si>
  <si>
    <t>Dummy RCV (prior to midnight adjustments) 31 March 2020</t>
  </si>
  <si>
    <t>Net performance payment / (penalty) applied to RCV for end of period ODI adjustments ~ Thames Tideway</t>
  </si>
  <si>
    <t>Dummy: RCV adjustment from totex menu model</t>
  </si>
  <si>
    <t>Dummy ~ Other adjustment to wholesale RCV</t>
  </si>
  <si>
    <t>Dummy: NPV effect of 100% of proceeds from disposals of interest in land</t>
  </si>
  <si>
    <t>% of RCV to index by RPI - dummy</t>
  </si>
  <si>
    <t>Dummy IFRS16 RCV adjustment</t>
  </si>
  <si>
    <t>D: NON CHANGEABLE MODEL TECHNICAL INPUTS</t>
  </si>
  <si>
    <t>Months per model period</t>
  </si>
  <si>
    <t>months</t>
  </si>
  <si>
    <t>Months in a year</t>
  </si>
  <si>
    <t>Days in a year</t>
  </si>
  <si>
    <t>days</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</si>
  <si>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</si>
  <si>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</si>
  <si>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</si>
  <si>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</si>
  <si>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</si>
  <si>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</si>
  <si>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</si>
  <si>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</si>
  <si>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</si>
  <si>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</si>
  <si>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</si>
  <si>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</si>
  <si>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</si>
  <si>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</si>
  <si>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</si>
  <si>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</si>
  <si>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</si>
  <si>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Pre-forecast period flag</t>
  </si>
  <si>
    <t>Pre-forecast period flag - total</t>
  </si>
  <si>
    <t>First post-forecast period flag</t>
  </si>
  <si>
    <t>Post-forecast period flag</t>
  </si>
  <si>
    <t>Post-forecast period - total</t>
  </si>
  <si>
    <t>MODEL TIMELINE</t>
  </si>
  <si>
    <t>Timeline label</t>
  </si>
  <si>
    <t>Timeline label counter</t>
  </si>
  <si>
    <t>Modelling period check</t>
  </si>
  <si>
    <t>No. of overlapping in flags</t>
  </si>
  <si>
    <t>Overlapping in periods - total</t>
  </si>
  <si>
    <t>check</t>
  </si>
  <si>
    <t>FINANCIAL YEAR</t>
  </si>
  <si>
    <t>Financial year ending</t>
  </si>
  <si>
    <t>CPIH: Index value series</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</si>
  <si>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</si>
  <si>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</si>
  <si>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</si>
  <si>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</si>
  <si>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</si>
  <si>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</si>
  <si>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</si>
  <si>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</si>
  <si>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</si>
  <si>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</si>
  <si>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</si>
  <si>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</si>
  <si>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Financial year average - index</t>
  </si>
  <si>
    <t>RPI: Index value series</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</si>
  <si>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</si>
  <si>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</si>
  <si>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</si>
  <si>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</si>
  <si>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</si>
  <si>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</si>
  <si>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</si>
  <si>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</si>
  <si>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</si>
  <si>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</si>
  <si>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</si>
  <si>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RPI: March - index</t>
  </si>
  <si>
    <t>RPI: Financial year average - index</t>
  </si>
  <si>
    <t>INFLATION</t>
  </si>
  <si>
    <t xml:space="preserve">Inflation of 2013 base prices  FYA - RPI </t>
  </si>
  <si>
    <t>factor</t>
  </si>
  <si>
    <t xml:space="preserve">Inflation of 2018 base prices  FYA - RPI </t>
  </si>
  <si>
    <t>Inflation of 2018 base prices  FYE - RPI</t>
  </si>
  <si>
    <t>DEFLATION</t>
  </si>
  <si>
    <t>CPIH deflate from 2018 FYE to 2018 FYA - IFRS 16</t>
  </si>
  <si>
    <t>WATER SERVICES</t>
  </si>
  <si>
    <t>Water RCV closing balance at 31 March 2020</t>
  </si>
  <si>
    <t>Values expressed in 2017-18 FYE CPIH deflated price base for table App8</t>
  </si>
  <si>
    <t xml:space="preserve">Wholesale water closing RCV at 31 March 2020 before midnight adjustments at 2017-18 FYE CPIH deflated price base </t>
  </si>
  <si>
    <t>Water ~ Total Adjustment RCV carry forward to PR19 at 2017-18 FYE CPIH deflated price base</t>
  </si>
  <si>
    <t>Water ~ CIS RCV inflation correction at 2017-18 FYE CPIH deflated price base</t>
  </si>
  <si>
    <t>Water ~ NPV effect of 50% of proceeds from disposals of interest in land at 2017-18 FYE CPIH deflated price base</t>
  </si>
  <si>
    <t>Water ~ ODI RCV adjustment allocated to Water resources at 2017-18 FYE CPIH deflated price base</t>
  </si>
  <si>
    <t>Water ~ ODI RCV adjustment allocated to Water network plus at 2017-18 FYE CPIH deflated price base</t>
  </si>
  <si>
    <t>Water ~ Totex menu RCV adjustment at 2017-18 FYE CPIH deflated price base</t>
  </si>
  <si>
    <t>Water ~ Other adjustment to wholesale RCV at 2017-18 FYE CPIH deflated price base</t>
  </si>
  <si>
    <t>Total wholesale water RCV at 31 March 2020 post midnight adjustments before allocation to price control units at 2017-18 FYE CPIH deflated price base</t>
  </si>
  <si>
    <t>PR14 reconciliation adjustments expressed in 2017-18 FYA CPIH deflated price base</t>
  </si>
  <si>
    <t>Water ~ Total adjustment RCV carry forward to PR19 at 2017-18 FYA CPIH deflated price base</t>
  </si>
  <si>
    <t>Water ~ CIS RCV inflation correction at 2017-18 FYA CPIH deflated price base</t>
  </si>
  <si>
    <t>Water ~ NPV effect of 50% of proceeds from disposals of interest in land at 2017-18 FYA CPIH deflated price base</t>
  </si>
  <si>
    <t>ODI end of period RCV adjustment ~ Water resources at 2017-18 FYA CPIH deflated price base</t>
  </si>
  <si>
    <t>ODI end of period RCV adjustment  ~ Water network plus at 2017-18 FYA CPIH deflated price base</t>
  </si>
  <si>
    <t>Water: Totex menu RCV adjustment at 2017-18 FYA CPIH deflated price base</t>
  </si>
  <si>
    <t>Water ~ Other adjustment to wholesale RCV at 2017-18 FYA CPIH deflated price base</t>
  </si>
  <si>
    <t>IFRS16 RCV adjustments expressed in 2017-18 FYA CPIH deflated price base</t>
  </si>
  <si>
    <t>Water resources IFRS16 RCV adjustment at 2017-18 FYA CPIH deflated price base</t>
  </si>
  <si>
    <t>Water network plus IFRS16 RCV adjustment at 2017-18 FYA CPIH deflated price base</t>
  </si>
  <si>
    <t>Total wholesale water RCV at 31 March 2020 post midnight adjustments before allocation to price control units at 2020 FYE price base</t>
  </si>
  <si>
    <t>Water resources opening RCV at 2020 FYE price base</t>
  </si>
  <si>
    <t>Water resources RPI linked RCV at 2020 FYE price base</t>
  </si>
  <si>
    <t>Water resources CPIH linked RCV at 2020 FYE price base</t>
  </si>
  <si>
    <t>Water resources 2020 RCV RPI inflated ~ 1 April (opening balance excluding IFRS16 adjustment) at 2017-18 CPIH deflated price base</t>
  </si>
  <si>
    <t>Water resources 2020 RCV CPIH inflated ~ 1 April (opening balance excluding IFRS16 adjustment) at 2017-18 CPIH deflated price base</t>
  </si>
  <si>
    <t>Water resources IFRS16 adjustment RPI inflated RCV at 2017-18 FYA CPIH deflated price base</t>
  </si>
  <si>
    <t>Water resources IFRS16 adjustment CPIH inflated RCV at 2017-18 FYA CPIH deflated price base</t>
  </si>
  <si>
    <t>Water resources 2020 RCV RPI inflated ~ 1 April (opening balance) at 2017-18 CPIH deflated price base</t>
  </si>
  <si>
    <t>Water resources 2020 RCV CPIH inflated ~ 1 April (opening balance) at 2017-18 CPIH deflated price base</t>
  </si>
  <si>
    <t>Water network plus</t>
  </si>
  <si>
    <t>Water network plus opening RCV at 2020 FYE price base</t>
  </si>
  <si>
    <t>Water network plus RPI linked RCV at 2020 FYE price base</t>
  </si>
  <si>
    <t>Water network plus CPIH linked RCV at 2020 FYE price base</t>
  </si>
  <si>
    <t>Water network plus RCV RPI inflated ~ 1 April (opening balance excluding IFRS16 adjustment) at 2017-18 CPIH deflated price base</t>
  </si>
  <si>
    <t>Water network plus RCV CPIH inflated ~ 1 April (opening balance excluding IFRS16 adjustment) at 2017-18 CPIH deflated price base</t>
  </si>
  <si>
    <t>Water network plus IFRS16 adjustment RPI inflated RCV at 2017-18 FYA CPIH deflated price base</t>
  </si>
  <si>
    <t>Water network plus IFRS16 adjustment CPIH inflated RCV at 2017-18 FYA CPIH deflated price base</t>
  </si>
  <si>
    <t>Water network plus RCV RPI inflated ~ 1 April (opening balance) at 2017-18 CPIH deflated price base</t>
  </si>
  <si>
    <t>Water network plus RCV CPIH inflated ~ 1 April (opening balance) at 2017-18 CPIH deflated price base</t>
  </si>
  <si>
    <t>WASTEWATER SERVICES</t>
  </si>
  <si>
    <t>Wastewater RCV closing balance at 31 March 2020</t>
  </si>
  <si>
    <t xml:space="preserve">Wholesale wastewater closing RCV at 31 March 2020 before midnight adjustments at 2017-18 FYE CPIH deflated price base </t>
  </si>
  <si>
    <t>Wastewater ~ Total adjustment RCV carry forward to PR19 at 2017-18 FYE CPIH deflated price base</t>
  </si>
  <si>
    <t>Wastewater ~ CIS RCV inflation correction at 2017-18 FYE CPIH deflated price base</t>
  </si>
  <si>
    <t>Wastewater ~ NPV effect of 50% of proceeds from disposals of interest in land at 2017-18 FYE CPIH deflated price base</t>
  </si>
  <si>
    <t>Wastewater ~ ODI RCV adjustment allocated to Wastewater network plus at 2017-18 FYE CPIH deflated price base</t>
  </si>
  <si>
    <t>Wastewater ~ Totex menu RCV adjustment at 2017-18 FYE CPIH deflated price base</t>
  </si>
  <si>
    <t>Wastewater ~ Other adjustment to wholesale RCV at 2017-18 FYE CPIH deflated price base</t>
  </si>
  <si>
    <t>Total wholesale wastewater RCV at 31 March 2020 post midnight adjustments before allocation to price control units at 2017-18 FYE CPIH deflated price base</t>
  </si>
  <si>
    <t>Wastewater ~ Total Adjustment RCV carry forward to PR19 at 2017-18 FYA CPIH deflated price base</t>
  </si>
  <si>
    <t>Wastewater ~ CIS RCV inflation correction at 2017-18 FYA CPIH deflated price base</t>
  </si>
  <si>
    <t>Wastewater ~ NPV effect of 50% of proceeds from disposals of interest in land at 2017-18 FYA CPIH deflated price base</t>
  </si>
  <si>
    <t>ODI end of period RCV adjustment ~ Wastewater network plus at 2017-18 FYA CPIH deflated price base</t>
  </si>
  <si>
    <t>Wastewater: Totex menu RCV adjustment at 2017-18 FYA CPIH deflated price base</t>
  </si>
  <si>
    <t>Wastewater ~ Other adjustment to wholesale RCV at 2017-18 FYA CPIH deflated price base</t>
  </si>
  <si>
    <t>Bioresources RCV (prior to midnight adjustments) 31 March 2020 at 2017-18 FYA CPIH deflated price base</t>
  </si>
  <si>
    <t>Bioresources IFRS16 RCV adjustment at 2017-18 FYA CPIH deflated price base</t>
  </si>
  <si>
    <t>Wastewater network plus IFRS16 RCV adjustment at 2017-18 FYA CPIH deflated price base</t>
  </si>
  <si>
    <t>Total wholesale wastewater RCV at 31 March 2020 post midnight adjustments before allocation to price control units at 2020 FYE price base</t>
  </si>
  <si>
    <t>Wastewater network plus</t>
  </si>
  <si>
    <t>less</t>
  </si>
  <si>
    <t>Wastewater network plus opening RCV at 2020 FYE price base</t>
  </si>
  <si>
    <t>Wastewater network plus RPI linked RCV at 2020 FYE price base</t>
  </si>
  <si>
    <t>Wastewater network plus CPIH linked RCV at 2020 FYE price base</t>
  </si>
  <si>
    <t>Wastewater network plus RCV RPI inflated ~ 1 April (opening balance excluding IFRS16 adjustment) at 2017-18 CPIH deflated price base</t>
  </si>
  <si>
    <t>Wastewater network plus RCV CPIH inflated ~ 1 April (opening balance excluding IFRS16 adjustment) at 2017-18 CPIH deflated price base</t>
  </si>
  <si>
    <t>Wastewater network plus IFRS16 adjustment RPI inflated RCV at 2017-18 FYA CPIH deflated price base</t>
  </si>
  <si>
    <t>Wastewater network plus IFRS16 adjustment CPIH inflated RCV at 2017-18 FYA CPIH deflated price base</t>
  </si>
  <si>
    <t>Wastewater network plus RCV RPI inflated ~ 1 April (opening balance) at 2017-18 CPIH deflated price base</t>
  </si>
  <si>
    <t>Wastewater network plus RCV CPIH inflated ~ 1 April (opening balance) at 2017-18 CPIH deflated price base</t>
  </si>
  <si>
    <t>Bioresources</t>
  </si>
  <si>
    <t>Bioresources RPI linked RCV at 2020 FYE price base</t>
  </si>
  <si>
    <t>Bioresources CPIH linked RCV at 2020 FYE price base</t>
  </si>
  <si>
    <t>Bioresources 2020 RCV RPI inflated ~ 1 April (opening balance excluding IFRS16 adjustment) at 2017-18 CPIH deflated price base</t>
  </si>
  <si>
    <t>Bioresources 2020 RCV CPIH inflated ~ 1 April (opening balance excluding IFRS16 adjustment) at 2017-18 CPIH deflated price base</t>
  </si>
  <si>
    <t>Bioresources IFRS16 adjustment RPI inflated RCV at 2017-18 FYA CPIH deflated price base</t>
  </si>
  <si>
    <t>Bioresources IFRS16 adjustment CPIH inflated RCV at 2017-18 FYA CPIH deflated price base</t>
  </si>
  <si>
    <t>Bioresources 2020 RCV RPI inflated ~ 1 April (opening balance) at 2017-18 CPIH deflated price base</t>
  </si>
  <si>
    <t>Bioresources 2020 RCV CPIH inflated ~ 1 April (opening balance) at 2017-18 CPIH deflated price base</t>
  </si>
  <si>
    <t>DUMMY PRICE CONTROL</t>
  </si>
  <si>
    <t>Dummy RCV closing balance at 31 March 2020</t>
  </si>
  <si>
    <t>Dummy RCV (prior to midnight adjustments) 31 March 2020 at 2017-18 FYE CPIH deflated price base</t>
  </si>
  <si>
    <t>ODI end of period RCV adjustment allocated to dummy at 2017-18 FYE CPIH deflated price base</t>
  </si>
  <si>
    <t>Dummy ~ Totex menu RCV adjustment at 2017-18 FYE CPIH deflated price base</t>
  </si>
  <si>
    <t>Dummy ~ Other adjustment to wholesale RCV at 2017-18 FYE CPIH deflated price base</t>
  </si>
  <si>
    <t>Dummy: NPV effect of 100% of proceeds from disposals of interest in land at 2017-18 FYE CPIH deflated price base</t>
  </si>
  <si>
    <t>Total dummy RCV at 31 March 2020 post midnight adjustments at 2017-18 FYE CPIH deflated price base</t>
  </si>
  <si>
    <t>ODI end of period RCV adjustment  ~ Thames Tideway at 2017-18 FYA CPIH deflated price base</t>
  </si>
  <si>
    <t>Dummy ~ Totex menu RCV adjustment at 2017-18 FYA CPIH deflated price base</t>
  </si>
  <si>
    <t>Dummy ~ Other adjustment to wholesale RCV at 2017-18 FYA CPIH deflated price base</t>
  </si>
  <si>
    <t>Dummy: NPV effect of 100% of proceeds from disposals of interest in land at 2017-18 FYA CPIH deflated price base</t>
  </si>
  <si>
    <t>Dummy IFRS16 RCV adjustment at 2017-18 FYA CPIH deflated price base</t>
  </si>
  <si>
    <t>Total dummy RCV at 31 March 2020 post midnight adjustments at 2020 FYE price base</t>
  </si>
  <si>
    <t>Dummy RPI linked RCV at 2020 FYE price base</t>
  </si>
  <si>
    <t>Dummy CPIH linked RCV at 2020 FYE price base</t>
  </si>
  <si>
    <t>Dummy 2020 RCV RPI inflated ~ 1 April (opening balance excluding IFRS16 adjustment) at 2017-18 CPIH deflated price base</t>
  </si>
  <si>
    <t>Dummy 2020 RCV CPIH inflated ~ 1 April (opening balance excluding IFRS16 adjustment) at 2017-18 CPIH deflated price base</t>
  </si>
  <si>
    <t>Dummy IFRS16 adjustment RPI inflated RCV at 2017-18 FYA CPIH deflated price base</t>
  </si>
  <si>
    <t>Dummy IFRS16 adjustment CPIH inflated RCV at 2017-18 FYA CPIH deflated price base</t>
  </si>
  <si>
    <t>Dummy 2020 RCV RPI inflated ~ 1 April (opening balance) at 2017-18 CPIH deflated price base</t>
  </si>
  <si>
    <t>Dummy 2020 RCV CPIH inflated ~ 1 April (opening balance) at 2017-18 CPIH deflated price base</t>
  </si>
  <si>
    <t>Values expressed in 2017-18 FYA CPIH deflated price base on table App8</t>
  </si>
  <si>
    <t>PR14 reconciliation adjustments expressed in 2017-18 FYA CPIH deflated price base by table</t>
  </si>
  <si>
    <t>Table App9</t>
  </si>
  <si>
    <t>Table App25</t>
  </si>
  <si>
    <t>Table App27</t>
  </si>
  <si>
    <t>Table WS15</t>
  </si>
  <si>
    <t>No table</t>
  </si>
  <si>
    <t>Table WWS15</t>
  </si>
  <si>
    <t>DUMMY</t>
  </si>
  <si>
    <t>Table Dmmy10</t>
  </si>
  <si>
    <t>Acronym</t>
  </si>
  <si>
    <t>Reference</t>
  </si>
  <si>
    <t>Item description</t>
  </si>
  <si>
    <t>Model</t>
  </si>
  <si>
    <t>2011-12</t>
  </si>
  <si>
    <t>2012-13</t>
  </si>
  <si>
    <t>2013-14</t>
  </si>
  <si>
    <t>2014-15</t>
  </si>
  <si>
    <t>2015-16</t>
  </si>
  <si>
    <t>2016-17</t>
  </si>
  <si>
    <t>2017-18</t>
  </si>
  <si>
    <t>2018-19</t>
  </si>
  <si>
    <t>2019-20</t>
  </si>
  <si>
    <t>PR19 application</t>
  </si>
  <si>
    <t>nr</t>
  </si>
  <si>
    <t>Price Review 2019</t>
  </si>
  <si>
    <t>BB3805AL</t>
  </si>
  <si>
    <t>BB3805MY</t>
  </si>
  <si>
    <t>BB3805JN</t>
  </si>
  <si>
    <t>BB3805JL</t>
  </si>
  <si>
    <t>BB3805AT</t>
  </si>
  <si>
    <t>BB3805SR</t>
  </si>
  <si>
    <t>BB3805OR</t>
  </si>
  <si>
    <t>BB3805NR</t>
  </si>
  <si>
    <t>BB3805DR</t>
  </si>
  <si>
    <t>BB3805JY</t>
  </si>
  <si>
    <t>BB3805FY</t>
  </si>
  <si>
    <t>BB3805MH</t>
  </si>
  <si>
    <t>Inflation: Year reference for FYA base price 1</t>
  </si>
  <si>
    <t>Inflation: Year reference for FYA base price 2</t>
  </si>
  <si>
    <t>Inflation: Year reference for FYE end price</t>
  </si>
  <si>
    <t>Deflation: Year reference for FYE base price</t>
  </si>
  <si>
    <t>Deflation: Year reference for FYA end price</t>
  </si>
  <si>
    <t>2020-21</t>
  </si>
  <si>
    <t>Text</t>
  </si>
  <si>
    <t>Deflation: Year reference for FYE base price - IFRS 16</t>
  </si>
  <si>
    <t>Inflation: Year reference for FYE base price</t>
  </si>
  <si>
    <t>PR19QA_D0010_OUT_1</t>
  </si>
  <si>
    <t>PR19QA_D0010_OUT_2</t>
  </si>
  <si>
    <t>C_APP27029_PD002</t>
  </si>
  <si>
    <t>C_APP27030_PD002</t>
  </si>
  <si>
    <t>C_APP27031_PD002</t>
  </si>
  <si>
    <t>C_APP27032_PD002</t>
  </si>
  <si>
    <t>C_A7010W_PR19PD003</t>
  </si>
  <si>
    <t>C_A7010WW_PR19PD003</t>
  </si>
  <si>
    <t>C_WS15025_PR19PD006</t>
  </si>
  <si>
    <t>C_WWS15020_PR19PD006</t>
  </si>
  <si>
    <t>C00572_L021</t>
  </si>
  <si>
    <t>APP25001</t>
  </si>
  <si>
    <t>C00579_L021</t>
  </si>
  <si>
    <t>APP25002</t>
  </si>
  <si>
    <t>BB3905AL</t>
  </si>
  <si>
    <t>BB3905MY</t>
  </si>
  <si>
    <t>BB3905JN</t>
  </si>
  <si>
    <t>BB3905JL</t>
  </si>
  <si>
    <t>BB3905AT</t>
  </si>
  <si>
    <t>BB3905SR</t>
  </si>
  <si>
    <t>BB3905OR</t>
  </si>
  <si>
    <t>BB3905NR</t>
  </si>
  <si>
    <t>BB3905DR</t>
  </si>
  <si>
    <t>BB3905JY</t>
  </si>
  <si>
    <t>BB3905FY</t>
  </si>
  <si>
    <t>BB3905MH</t>
  </si>
  <si>
    <t>APP8001W</t>
  </si>
  <si>
    <t>APP8009W</t>
  </si>
  <si>
    <t>APP8001WW</t>
  </si>
  <si>
    <t>APP8009WW</t>
  </si>
  <si>
    <t>RCV1011DMMY</t>
  </si>
  <si>
    <t>APP8009DMMY</t>
  </si>
  <si>
    <t>APP33021DMMY</t>
  </si>
  <si>
    <t>APP33021WWNP</t>
  </si>
  <si>
    <t>APP33021BIO</t>
  </si>
  <si>
    <t>APP33021WNP</t>
  </si>
  <si>
    <t>APP33021WR</t>
  </si>
  <si>
    <t>WS12019WR</t>
  </si>
  <si>
    <t>WWS12016BIO</t>
  </si>
  <si>
    <t>C_APP8009W</t>
  </si>
  <si>
    <t>C_APP8010W</t>
  </si>
  <si>
    <t>C_APP8014WR</t>
  </si>
  <si>
    <t>C_APP8016WR</t>
  </si>
  <si>
    <t>C_APP8016WN</t>
  </si>
  <si>
    <t>C_APP8014WN</t>
  </si>
  <si>
    <t>C_APP8009WW</t>
  </si>
  <si>
    <t>C_APP8010WW</t>
  </si>
  <si>
    <t>C_APP8002W</t>
  </si>
  <si>
    <t>C_APP8003W</t>
  </si>
  <si>
    <t>C_APP8004W</t>
  </si>
  <si>
    <t>C_APP8005W</t>
  </si>
  <si>
    <t>C_APP8006W</t>
  </si>
  <si>
    <t>C_APP8007W</t>
  </si>
  <si>
    <t>C_APP8008W</t>
  </si>
  <si>
    <t>C_APP8022WR</t>
  </si>
  <si>
    <t>C_APP8022WN</t>
  </si>
  <si>
    <t>C_APP8002WW</t>
  </si>
  <si>
    <t>C_APP8003WW</t>
  </si>
  <si>
    <t>C_APP8004WW</t>
  </si>
  <si>
    <t>C_APP8005WW</t>
  </si>
  <si>
    <t>C_APP8006WW</t>
  </si>
  <si>
    <t>C_APP8008WW</t>
  </si>
  <si>
    <t>C_APP8022BIO</t>
  </si>
  <si>
    <t>C_APP8022WWN</t>
  </si>
  <si>
    <t>C_RCV1011BIO_FYA</t>
  </si>
  <si>
    <t>C_APP8014WWN</t>
  </si>
  <si>
    <t>C_APP8016WWN</t>
  </si>
  <si>
    <t>C_APP8014BIO</t>
  </si>
  <si>
    <t>C_APP8016BIO</t>
  </si>
  <si>
    <t>C_APP8002DMMY</t>
  </si>
  <si>
    <t>C_APP8006DMMY</t>
  </si>
  <si>
    <t>C_APP8008DMMY</t>
  </si>
  <si>
    <t>C_APP8005DMMY</t>
  </si>
  <si>
    <t>C_APP8009DMMY</t>
  </si>
  <si>
    <t>C_APP8010DMMY</t>
  </si>
  <si>
    <t>C_APP8022DMMY</t>
  </si>
  <si>
    <t>C_APP8014DMMY</t>
  </si>
  <si>
    <t>C_APP8016DMMY</t>
  </si>
  <si>
    <t>C_APP8002W_PR19PD010</t>
  </si>
  <si>
    <t>C_APP8003W_PR19PD010</t>
  </si>
  <si>
    <t>C_APP8004W_PR19PD010</t>
  </si>
  <si>
    <t>C_APP8005W_PR19PD010</t>
  </si>
  <si>
    <t>C_APP8006W_PR19PD010</t>
  </si>
  <si>
    <t>C_APP8007W_PR19PD010</t>
  </si>
  <si>
    <t>C_APP8008W_PR19PD010</t>
  </si>
  <si>
    <t>C_APP8009W_PR19PD010</t>
  </si>
  <si>
    <t>C_APP8010W_PR19PD010</t>
  </si>
  <si>
    <t>C_APP8022WR_PR19PD010</t>
  </si>
  <si>
    <t>C_APP8014WR_PR19PD010</t>
  </si>
  <si>
    <t>C_APP8016WR_PR19PD010</t>
  </si>
  <si>
    <t>C_APP8022WN_PR19PD010</t>
  </si>
  <si>
    <t>C_APP8014WN_PR19PD010</t>
  </si>
  <si>
    <t>C_APP8016WN_PR19PD010</t>
  </si>
  <si>
    <t>C_APP8002WW_PR19PD010</t>
  </si>
  <si>
    <t>C_APP8003WW_PR19PD010</t>
  </si>
  <si>
    <t>C_APP8004WW_PR19PD010</t>
  </si>
  <si>
    <t>C_APP8005WW_PR19PD010</t>
  </si>
  <si>
    <t>C_APP8006WW_PR19PD010</t>
  </si>
  <si>
    <t>C_APP8008WW_PR19PD010</t>
  </si>
  <si>
    <t>C_APP8009WW_PR19PD010</t>
  </si>
  <si>
    <t>C_APP8010WW_PR19PD010</t>
  </si>
  <si>
    <t>C_RCV1011BIO_FYA_PR19PD010</t>
  </si>
  <si>
    <t>C_APP8022WWN_PR19PD010</t>
  </si>
  <si>
    <t>C_APP8014WWN_PR19PD010</t>
  </si>
  <si>
    <t>C_APP8016WWN_PR19PD010</t>
  </si>
  <si>
    <t>C_APP8022BIO_PR19PD010</t>
  </si>
  <si>
    <t>C_APP8014BIO_PR19PD010</t>
  </si>
  <si>
    <t>C_APP8016BIO_PR19PD010</t>
  </si>
  <si>
    <t>C_APP8002DMMY_PR19PD010</t>
  </si>
  <si>
    <t>C_APP8006DMMY_PR19PD010</t>
  </si>
  <si>
    <t>C_APP8008DMMY_PR19PD010</t>
  </si>
  <si>
    <t>C_APP8009DMMY_PR19PD010</t>
  </si>
  <si>
    <t>C_APP8005DMMY_PR19PD010</t>
  </si>
  <si>
    <t>C_APP8010DMMY_PR19PD010</t>
  </si>
  <si>
    <t>C_APP8022DMMY_PR19PD010</t>
  </si>
  <si>
    <t>C_APP8014DMMY_PR19PD010</t>
  </si>
  <si>
    <t>C_APP8016DMMY_PR19PD010</t>
  </si>
  <si>
    <t>C001</t>
  </si>
  <si>
    <t>C002</t>
  </si>
  <si>
    <t>C003</t>
  </si>
  <si>
    <t>C004</t>
  </si>
  <si>
    <t>C005</t>
  </si>
  <si>
    <t>C006</t>
  </si>
  <si>
    <t>C007</t>
  </si>
  <si>
    <t>C008</t>
  </si>
  <si>
    <t>C009</t>
  </si>
  <si>
    <t>C010</t>
  </si>
  <si>
    <t>C011</t>
  </si>
  <si>
    <t>C012</t>
  </si>
  <si>
    <t>C013</t>
  </si>
  <si>
    <t>C014</t>
  </si>
  <si>
    <t>C015</t>
  </si>
  <si>
    <t>C016</t>
  </si>
  <si>
    <t>C017</t>
  </si>
  <si>
    <t>C018</t>
  </si>
  <si>
    <t>C019</t>
  </si>
  <si>
    <t>C001_PR19PD010</t>
  </si>
  <si>
    <t>C002_PR19PD010</t>
  </si>
  <si>
    <t>C003_PR19PD010</t>
  </si>
  <si>
    <t>C004_PR19PD010</t>
  </si>
  <si>
    <t>C005_PR19PD010</t>
  </si>
  <si>
    <t>C006_PR19PD010</t>
  </si>
  <si>
    <t>C007_PR19PD010</t>
  </si>
  <si>
    <t>C008_PR19PD010</t>
  </si>
  <si>
    <t>C009_PR19PD010</t>
  </si>
  <si>
    <t>C010_PR19PD010</t>
  </si>
  <si>
    <t>C011_PR19PD010</t>
  </si>
  <si>
    <t>C012_PR19PD010</t>
  </si>
  <si>
    <t>C013_PR19PD010</t>
  </si>
  <si>
    <t>C014_PR19PD010</t>
  </si>
  <si>
    <t>C015_PR19PD010</t>
  </si>
  <si>
    <t>C016_PR19PD010</t>
  </si>
  <si>
    <t>C017_PR19PD010</t>
  </si>
  <si>
    <t>C018_PR19PD010</t>
  </si>
  <si>
    <t>C019_PR19PD010</t>
  </si>
  <si>
    <t>Manual input if required</t>
  </si>
  <si>
    <t>PR19PD010_IN</t>
  </si>
  <si>
    <t>PR19 RUN 1: early view of past delivery</t>
  </si>
  <si>
    <t>Latest</t>
  </si>
  <si>
    <t>2015-20</t>
  </si>
  <si>
    <t>2014-20</t>
  </si>
  <si>
    <t>Consumer Price Index (with housing) for April</t>
  </si>
  <si>
    <t>Consumer Price Index (with housing) for May</t>
  </si>
  <si>
    <t>Consumer Price Index (with housing) for June</t>
  </si>
  <si>
    <t>Consumer Price Index (with housing) for July</t>
  </si>
  <si>
    <t>Consumer Price Index (with housing) for August</t>
  </si>
  <si>
    <t>Consumer Price Index (with housing) for September</t>
  </si>
  <si>
    <t>Consumer Price Index (with housing) for October</t>
  </si>
  <si>
    <t>Consumer Price Index (with housing) for November</t>
  </si>
  <si>
    <t>Consumer Price Index (with housing) for December</t>
  </si>
  <si>
    <t>Consumer Price Index (with housing) for January</t>
  </si>
  <si>
    <t>Consumer Price Index (with housing) for February</t>
  </si>
  <si>
    <t>Consumer Price Index (with housing) for March</t>
  </si>
  <si>
    <t>RCV year end balances - Water RCV closing balance at 31 March 2020 - Wholesale water closing RCV at 31 March 2020 in 2012-13 prices (from PR14 FD)</t>
  </si>
  <si>
    <t>Water - Total Adjustment RCV carry forward to PR19</t>
  </si>
  <si>
    <t>Further 2010-15 reconciliation adjustments - Water ~ CIS RCV inflation correction</t>
  </si>
  <si>
    <t>RCV year end balances - Water RCV closing balance at 31 March 2020 - Water ~ Other adjustment to wholesale RCV</t>
  </si>
  <si>
    <t>NPV effect of 50% of proceeds from disposals of interest in land</t>
  </si>
  <si>
    <t>RCV ~ 31 March 2020 ( % of total wholesale water) - Water resources</t>
  </si>
  <si>
    <t>Water resources - RCV adjustment</t>
  </si>
  <si>
    <t>Water network plus - RCV adjustment</t>
  </si>
  <si>
    <t>RCV year end balances - Wastewater RCV closing balance at 31 March 2020 - Wholesale wastewater closing RCV at 31 March 2020 in 2012-13 prices (PR14 FD)</t>
  </si>
  <si>
    <t>Wastewater - Total Adjustment RCV carry forward to PR19</t>
  </si>
  <si>
    <t>Further 2010-15 reconciliation adjustments - Wastewater ~ CIS RCV inflation correction</t>
  </si>
  <si>
    <t>RCV year end balances - Wastewater RCV closing balance at 31 March 2020 - Wastewater ~ Other adjustment to wholesale RCV</t>
  </si>
  <si>
    <t>RCV split 31 March 2020 - RCV (prior to midnight adjustments) - Bioresources</t>
  </si>
  <si>
    <t>Bioresources - RCV adjustment</t>
  </si>
  <si>
    <t>Wastewater network plus - RCV adjustment</t>
  </si>
  <si>
    <t>RCV year end balances - Dummy RCV - Dummy RCV (prior to midnight adjustments) 31 March 2020</t>
  </si>
  <si>
    <t>RCV year end balances - Dummy RCV - Dummy ~ Other adjustment to wholesale RCV</t>
  </si>
  <si>
    <t>Dummy - RCV adjustment</t>
  </si>
  <si>
    <t>C020_PR19PD010</t>
  </si>
  <si>
    <t>C021_PR19PD010</t>
  </si>
  <si>
    <t>C022_PR19PD010</t>
  </si>
  <si>
    <t>Date &amp; Time for Model PR19D010 PR14 RCV adjustments</t>
  </si>
  <si>
    <t>Name &amp; Path of Model PR19D010 PR14 RCV adjustments</t>
  </si>
  <si>
    <t>C_APP25005</t>
  </si>
  <si>
    <t>C_APP25008</t>
  </si>
  <si>
    <t>C_APP25005_PR19PD010</t>
  </si>
  <si>
    <t>C_APP25008_PR19PD010</t>
  </si>
  <si>
    <t>C_APP25003</t>
  </si>
  <si>
    <t>C_APP25007</t>
  </si>
  <si>
    <t>C_APP25003_PR19PD010</t>
  </si>
  <si>
    <t>C_APP25007_PR19PD010</t>
  </si>
  <si>
    <t>C_A7011W</t>
  </si>
  <si>
    <t>C_A7011WW</t>
  </si>
  <si>
    <t>C_A7011W_PR19PD010</t>
  </si>
  <si>
    <t>C_A7011WW_PR19PD010</t>
  </si>
  <si>
    <t>C_WS15027</t>
  </si>
  <si>
    <t>C_WWS15022</t>
  </si>
  <si>
    <t>C_WS15027_PR19PD010</t>
  </si>
  <si>
    <t>C_WWS15022_PR19PD010</t>
  </si>
  <si>
    <t>C_WWS15020_DMMY_PR19PD006</t>
  </si>
  <si>
    <t>Wastewater: RCV adjustment from totex menu model (TTT)</t>
  </si>
  <si>
    <t>PR19PD010</t>
  </si>
  <si>
    <t>The model is designed to take the RCV adjustment outputs from the PR09 and PR14 reconciliations and convert them for use in the PR19 financial model in</t>
  </si>
  <si>
    <t>line with Delivering Water 2020: PR19 methodology, chapter 12 (accounting for past delivery).</t>
  </si>
  <si>
    <t>C030</t>
  </si>
  <si>
    <t>C030_PR19PD010</t>
  </si>
  <si>
    <t>C040</t>
  </si>
  <si>
    <t>C040_PR19PD010</t>
  </si>
  <si>
    <t>C_APP27048</t>
  </si>
  <si>
    <t>C_APP27049</t>
  </si>
  <si>
    <t>C_APP27050</t>
  </si>
  <si>
    <t>C_APP27051</t>
  </si>
  <si>
    <t>C_APP27048_PR19PD010</t>
  </si>
  <si>
    <t>C_APP27049_PR19PD010</t>
  </si>
  <si>
    <t>C_APP27050_PR19PD010</t>
  </si>
  <si>
    <t>C_APP27051_PR19PD010</t>
  </si>
  <si>
    <t>C_WWS15022DMMY</t>
  </si>
  <si>
    <t>C_WWS15022DMMY_PR19PD010</t>
  </si>
  <si>
    <t>C_A7011DMMY_PR19PD010</t>
  </si>
  <si>
    <t>C_A7011DMMY</t>
  </si>
  <si>
    <t>YKY</t>
  </si>
  <si>
    <t>App23 - Inflation measures</t>
  </si>
  <si>
    <t>Data validation</t>
  </si>
  <si>
    <t>Line description</t>
  </si>
  <si>
    <t>Item reference</t>
  </si>
  <si>
    <t>Units</t>
  </si>
  <si>
    <t>DPs</t>
  </si>
  <si>
    <t>2021-22</t>
  </si>
  <si>
    <t>2022-23</t>
  </si>
  <si>
    <t>2023-24</t>
  </si>
  <si>
    <t>2024-25</t>
  </si>
  <si>
    <t>2025-26</t>
  </si>
  <si>
    <t>2026-27</t>
  </si>
  <si>
    <t>2027-28</t>
  </si>
  <si>
    <t>2028-29</t>
  </si>
  <si>
    <t>2029-30</t>
  </si>
  <si>
    <t>Calculation, copy or download rule</t>
  </si>
  <si>
    <t>Validation description</t>
  </si>
  <si>
    <t>Completion</t>
  </si>
  <si>
    <t>Validation</t>
  </si>
  <si>
    <t>Completion checks</t>
  </si>
  <si>
    <t>Validation flags</t>
  </si>
  <si>
    <t>A</t>
  </si>
  <si>
    <t>Please complete all cells in row</t>
  </si>
  <si>
    <t>Values required for all months in all years</t>
  </si>
  <si>
    <t>RPI: Months of actual data for Financial Year</t>
  </si>
  <si>
    <t>PB00000</t>
  </si>
  <si>
    <t>Counts the number of entries in lines 2 to 13.</t>
  </si>
  <si>
    <t>Must equal 12.</t>
  </si>
  <si>
    <t xml:space="preserve">Retail Price Index for April </t>
  </si>
  <si>
    <t xml:space="preserve">Retail Price Index for May </t>
  </si>
  <si>
    <t xml:space="preserve">Retail Price Index for June </t>
  </si>
  <si>
    <t xml:space="preserve">Retail Price Index for July </t>
  </si>
  <si>
    <t xml:space="preserve">Retail Price Index for November </t>
  </si>
  <si>
    <t xml:space="preserve">Retail Price Index for December </t>
  </si>
  <si>
    <t xml:space="preserve">Retail Price Index for January </t>
  </si>
  <si>
    <t xml:space="preserve">Retail Price Index for February </t>
  </si>
  <si>
    <t xml:space="preserve">Retail Price Index for March </t>
  </si>
  <si>
    <t>B</t>
  </si>
  <si>
    <t>Consumer price index (including housing costs)</t>
  </si>
  <si>
    <t>CPIH: Months of actual data for Financial Year</t>
  </si>
  <si>
    <t>PB00003</t>
  </si>
  <si>
    <t>Counts the number of entries in lines 15 to 26.</t>
  </si>
  <si>
    <t xml:space="preserve">Consumer Price Index (with housing) for April </t>
  </si>
  <si>
    <t xml:space="preserve">Consumer Price Index (with housing) for May </t>
  </si>
  <si>
    <t xml:space="preserve">Consumer Price Index (with housing) for June </t>
  </si>
  <si>
    <t xml:space="preserve">Consumer Price Index (with housing) for July </t>
  </si>
  <si>
    <t xml:space="preserve">Consumer Price Index (with housing) for November </t>
  </si>
  <si>
    <t xml:space="preserve">Consumer Price Index (with housing) for December </t>
  </si>
  <si>
    <t xml:space="preserve">Consumer Price Index (with housing) for January </t>
  </si>
  <si>
    <t xml:space="preserve">Consumer Price Index (with housing) for February </t>
  </si>
  <si>
    <t xml:space="preserve">Consumer Price Index (with housing) for March </t>
  </si>
  <si>
    <t>C</t>
  </si>
  <si>
    <t>Indexation rate for index linked debt percentage increase</t>
  </si>
  <si>
    <t>A9001</t>
  </si>
  <si>
    <t>D</t>
  </si>
  <si>
    <t>Financial year average indices</t>
  </si>
  <si>
    <t>RPI: Financial year average indices</t>
  </si>
  <si>
    <t>PB00113BP</t>
  </si>
  <si>
    <t>Average of lines 2 to 13.</t>
  </si>
  <si>
    <t>CPIH: Financial year average indices</t>
  </si>
  <si>
    <t>PB00200</t>
  </si>
  <si>
    <t>Average of lines 15 to 26.</t>
  </si>
  <si>
    <t>E</t>
  </si>
  <si>
    <t>Year on year % change</t>
  </si>
  <si>
    <t>RPI: November year on year %</t>
  </si>
  <si>
    <t>APP23001</t>
  </si>
  <si>
    <t>Year on year change in line 9.</t>
  </si>
  <si>
    <t>RPI: Financial year average indices year on year %</t>
  </si>
  <si>
    <t>APP23002</t>
  </si>
  <si>
    <t>Year on year change in line 28.</t>
  </si>
  <si>
    <t>RPI: Financial year end indices year on year %</t>
  </si>
  <si>
    <t>APP23003</t>
  </si>
  <si>
    <t>Year on year change in line 13.</t>
  </si>
  <si>
    <t>CPIH: November year on year %</t>
  </si>
  <si>
    <t>APP23004</t>
  </si>
  <si>
    <t>Year on year change in line 22.</t>
  </si>
  <si>
    <t>CPIH: Financial year average indices year on year %</t>
  </si>
  <si>
    <t>APP23005</t>
  </si>
  <si>
    <t>Year on year change in line 29.</t>
  </si>
  <si>
    <t>CPIH: Financial year end indices year on year %</t>
  </si>
  <si>
    <t>APP23006</t>
  </si>
  <si>
    <t>Year on year change in line 26.</t>
  </si>
  <si>
    <t>Wedge between RPI and CPIH</t>
  </si>
  <si>
    <t>APP23007</t>
  </si>
  <si>
    <t>Line 31 - line 34.</t>
  </si>
  <si>
    <t>F</t>
  </si>
  <si>
    <t>Long term inflation rates</t>
  </si>
  <si>
    <t>Long term RPI inflation rate</t>
  </si>
  <si>
    <t>APP23008</t>
  </si>
  <si>
    <t>Long term CPIH inflation rate</t>
  </si>
  <si>
    <t>APP23009</t>
  </si>
  <si>
    <t>KEY</t>
  </si>
  <si>
    <t>Input</t>
  </si>
  <si>
    <t>Copy</t>
  </si>
  <si>
    <t>Calculation</t>
  </si>
  <si>
    <t>Pre populated</t>
  </si>
  <si>
    <t>App23 guidance and line definitions</t>
  </si>
  <si>
    <t xml:space="preserve">This table contains companies' assumptions about inflation during the price control period. The information allows us to adjust the price base of companies' business plan projections and compare across companies on a consistent basis without prescribing assumptions about inflation.
</t>
  </si>
  <si>
    <t>Line</t>
  </si>
  <si>
    <t>Definition</t>
  </si>
  <si>
    <t>Block A</t>
  </si>
  <si>
    <t>1-13</t>
  </si>
  <si>
    <t>Pre-populated data in green cells are published values for the retail price index (RPI) available on the ONS website. For 2017-18 onwards in lines 2 to 13, companies should enter forecast RPI values for each month. Line 1 will update automatically and should equal 12 to indicate that forecasts have been completed for all months of the financial year.</t>
  </si>
  <si>
    <t>Block B</t>
  </si>
  <si>
    <t>14-26</t>
  </si>
  <si>
    <t>Pre-populated data in green cells are published values for the consumer price index including housing costs (CPIH) available on the ONS website. For 2017-18 onwards in lines 15 to 26, companies should enter forecast CPIH values for each month. Line 14 will update automatically and should equal 12 to indicate that forecasts have been completed for all months of the financial year.</t>
  </si>
  <si>
    <t>Block C</t>
  </si>
  <si>
    <t>The percentage uplift of index-linked debt by indexation. The financial model works on year average prices, so a year average inflation rate for index linked debt is more appropriate.</t>
  </si>
  <si>
    <t>Block D</t>
  </si>
  <si>
    <t>28-29</t>
  </si>
  <si>
    <t>The financial year average indices calculated by taking an average over 12 months from April to March.</t>
  </si>
  <si>
    <t>Block E</t>
  </si>
  <si>
    <t>30-35</t>
  </si>
  <si>
    <t>The year on year % change in the indices.</t>
  </si>
  <si>
    <t>The annual % change in RPI average minus the annual change in CPI(H) average.</t>
  </si>
  <si>
    <t>Block F</t>
  </si>
  <si>
    <t>The company's view of the long term inflation rate for RPI. Long term inflation rate is the rate used to discount the nominal WACC into a real WACC.</t>
  </si>
  <si>
    <t>The company's view of the long term inflation rate for CPI(H). Long term inflation rate is the rate used to discount the nominal WACC into a real WACC.</t>
  </si>
  <si>
    <t>IAP model</t>
  </si>
  <si>
    <t>Variance</t>
  </si>
  <si>
    <t>WS15 update</t>
  </si>
  <si>
    <t>WWS15 update</t>
  </si>
  <si>
    <t>App9 update - water</t>
  </si>
  <si>
    <t>App9 update - waste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</si>
</sst>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0_);\(#,##0\);&quot;-  &quot;;&quot; &quot;@&quot; &quot;"/>
    <numFmt numFmtId="168" formatCode="#,##0.0000_);\(#,##0.0000\);&quot;-  &quot;;&quot; &quot;@&quot; &quot;"/>
    <numFmt numFmtId="169" formatCode="0.00%_);\-0.00%_);&quot;-  &quot;;&quot; &quot;@&quot; &quot;"/>
    <numFmt numFmtId="170" formatCode="#,##0_);\(#,##0\);&quot;-  &quot;;&quot; &quot;@"/>
    <numFmt numFmtId="171" formatCode="#,##0.0_);\(#,##0.0\);&quot;-  &quot;;&quot; &quot;@&quot; &quot;"/>
    <numFmt numFmtId="172" formatCode="dd/mmm/yy_);;&quot;-  &quot;;&quot; &quot;@"/>
    <numFmt numFmtId="173" formatCode="###0_);\(#,##0\);&quot;-  &quot;;&quot; &quot;@"/>
    <numFmt numFmtId="174" formatCode="#,##0.0_);\(#,##0.0\);&quot;-  &quot;;&quot; &quot;@"/>
    <numFmt numFmtId="175" formatCode="###0_);\(###0\);&quot;-  &quot;;&quot; &quot;@&quot; &quot;"/>
    <numFmt numFmtId="176" formatCode="dd\ mmm\ yyyy_);\(###0\);&quot;-  &quot;;&quot; &quot;@&quot; &quot;"/>
    <numFmt numFmtId="177" formatCode="dd\ mmm\ yy_);\(###0\);&quot;-  &quot;;&quot; &quot;@&quot; &quot;"/>
    <numFmt numFmtId="178" formatCode="#,##0.00_);\(#,##0.00\);&quot;-  &quot;;&quot; &quot;@&quot; &quot;"/>
    <numFmt numFmtId="179" formatCode="#,##0.000_);\(#,##0.000\);&quot;-  &quot;;&quot; &quot;@&quot; &quot;"/>
    <numFmt numFmtId="180" formatCode="dd/mm/yyyy;@"/>
    <numFmt numFmtId="181" formatCode="#,##0.000"/>
    <numFmt numFmtId="182" formatCode="#,##0.0"/>
    <numFmt numFmtId="183" formatCode="#,##0.0000000000000000000000000000"/>
    <numFmt numFmtId="184" formatCode="#,##0.00000000000000000000000000000"/>
    <numFmt numFmtId="185" formatCode="#,##0.000000000000000000000000000000"/>
    <numFmt numFmtId="186" formatCode="#,##0.0000000000000000000000000000000"/>
    <numFmt numFmtId="187" formatCode="0.0"/>
    <numFmt numFmtId="188" formatCode="0.000"/>
    <numFmt numFmtId="189" formatCode="#,##0;\(#,##0\);\-"/>
  </numFmts>
  <fonts count="129">
    <font>
      <sz val="10"/>
      <name val="Arial"/>
      <family val="0"/>
    </font>
    <font>
      <sz val="11"/>
      <color indexed="8"/>
      <name val="Arial"/>
      <family val="2"/>
    </font>
    <font>
      <b/>
      <sz val="20"/>
      <name val="Arial"/>
      <family val="2"/>
    </font>
    <font>
      <u val="single"/>
      <sz val="20"/>
      <name val="Arial"/>
      <family val="2"/>
    </font>
    <font>
      <sz val="20"/>
      <name val="Arial"/>
      <family val="2"/>
    </font>
    <font>
      <b/>
      <sz val="10"/>
      <name val="Arial"/>
      <family val="2"/>
    </font>
    <font>
      <u val="single"/>
      <sz val="10"/>
      <name val="Arial"/>
      <family val="2"/>
    </font>
    <font>
      <sz val="10"/>
      <color indexed="12"/>
      <name val="Arial"/>
      <family val="2"/>
    </font>
    <font>
      <i/>
      <sz val="10"/>
      <name val="Arial"/>
      <family val="2"/>
    </font>
    <font>
      <sz val="12"/>
      <name val="Arial"/>
      <family val="2"/>
    </font>
    <font>
      <b/>
      <sz val="12"/>
      <color indexed="8"/>
      <name val="Arial"/>
      <family val="2"/>
    </font>
    <font>
      <b/>
      <sz val="12"/>
      <name val="Arial"/>
      <family val="2"/>
    </font>
    <font>
      <sz val="12"/>
      <color indexed="9"/>
      <name val="Arial"/>
      <family val="2"/>
    </font>
    <font>
      <sz val="12"/>
      <color indexed="8"/>
      <name val="Arial"/>
      <family val="2"/>
    </font>
    <font>
      <sz val="10"/>
      <color indexed="10"/>
      <name val="Arial"/>
      <family val="2"/>
    </font>
    <font>
      <b/>
      <sz val="18"/>
      <color indexed="56"/>
      <name val="Franklin Gothic Demi"/>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u val="single"/>
      <sz val="10"/>
      <color indexed="30"/>
      <name val="Arial"/>
      <family val="2"/>
    </font>
    <font>
      <b/>
      <sz val="10"/>
      <color indexed="10"/>
      <name val="Arial"/>
      <family val="2"/>
    </font>
    <font>
      <u val="single"/>
      <sz val="10"/>
      <color indexed="10"/>
      <name val="Arial"/>
      <family val="2"/>
    </font>
    <font>
      <b/>
      <sz val="11"/>
      <name val="Calibri"/>
      <family val="2"/>
    </font>
    <font>
      <u val="single"/>
      <sz val="12"/>
      <color indexed="12"/>
      <name val="Arial"/>
      <family val="2"/>
    </font>
    <font>
      <b/>
      <sz val="11"/>
      <name val="Arial"/>
      <family val="2"/>
    </font>
    <font>
      <b/>
      <sz val="10"/>
      <color indexed="8"/>
      <name val="Arial"/>
      <family val="2"/>
    </font>
    <font>
      <sz val="10"/>
      <color indexed="8"/>
      <name val="Arial"/>
      <family val="2"/>
    </font>
    <font>
      <b/>
      <sz val="16"/>
      <color indexed="12"/>
      <name val="Arial"/>
      <family val="2"/>
    </font>
    <font>
      <b/>
      <sz val="11"/>
      <color indexed="12"/>
      <name val="Arial"/>
      <family val="2"/>
    </font>
    <font>
      <b/>
      <sz val="16"/>
      <name val="Arial"/>
      <family val="2"/>
    </font>
    <font>
      <b/>
      <sz val="12"/>
      <color indexed="12"/>
      <name val="Arial"/>
      <family val="2"/>
    </font>
    <font>
      <u val="single"/>
      <sz val="10"/>
      <color indexed="8"/>
      <name val="Arial"/>
      <family val="2"/>
    </font>
    <font>
      <b/>
      <sz val="10"/>
      <color indexed="12"/>
      <name val="Arial"/>
      <family val="2"/>
    </font>
    <font>
      <u val="single"/>
      <sz val="10"/>
      <color indexed="12"/>
      <name val="Arial"/>
      <family val="2"/>
    </font>
    <font>
      <b/>
      <sz val="22.5"/>
      <color indexed="9"/>
      <name val="Franklin Gothic Demi"/>
      <family val="2"/>
    </font>
    <font>
      <i/>
      <sz val="12"/>
      <color indexed="9"/>
      <name val="Franklin Gothic Demi"/>
      <family val="2"/>
    </font>
    <font>
      <b/>
      <sz val="22.5"/>
      <color indexed="8"/>
      <name val="Franklin Gothic Demi"/>
      <family val="2"/>
    </font>
    <font>
      <sz val="12"/>
      <color indexed="9"/>
      <name val="Franklin Gothic Demi"/>
      <family val="2"/>
    </font>
    <font>
      <b/>
      <sz val="12"/>
      <color indexed="9"/>
      <name val="Franklin Gothic Demi"/>
      <family val="2"/>
    </font>
    <font>
      <u val="single"/>
      <sz val="12"/>
      <color indexed="9"/>
      <name val="Franklin Gothic Demi"/>
      <family val="2"/>
    </font>
    <font>
      <sz val="12"/>
      <color indexed="8"/>
      <name val="Franklin Gothic Demi"/>
      <family val="2"/>
    </font>
    <font>
      <i/>
      <sz val="12"/>
      <color indexed="8"/>
      <name val="Franklin Gothic Demi"/>
      <family val="2"/>
    </font>
    <font>
      <sz val="12"/>
      <color indexed="8"/>
      <name val="Franklin Gothic Book"/>
      <family val="2"/>
    </font>
    <font>
      <b/>
      <sz val="12"/>
      <color indexed="8"/>
      <name val="Franklin Gothic Book"/>
      <family val="2"/>
    </font>
    <font>
      <u val="single"/>
      <sz val="12"/>
      <color indexed="30"/>
      <name val="Franklin Gothic Demi"/>
      <family val="2"/>
    </font>
    <font>
      <i/>
      <sz val="12"/>
      <color indexed="8"/>
      <name val="Arial"/>
      <family val="2"/>
    </font>
    <font>
      <i/>
      <sz val="12"/>
      <color indexed="8"/>
      <name val="Franklin Gothic Book"/>
      <family val="2"/>
    </font>
    <font>
      <b/>
      <sz val="26"/>
      <color indexed="9"/>
      <name val="Arial"/>
      <family val="2"/>
    </font>
    <font>
      <sz val="10"/>
      <color indexed="13"/>
      <name val="Arial"/>
      <family val="2"/>
    </font>
    <font>
      <sz val="15"/>
      <color indexed="9"/>
      <name val="Franklin Gothic Demi"/>
      <family val="2"/>
    </font>
    <font>
      <sz val="11"/>
      <color indexed="9"/>
      <name val="Franklin Gothic Demi"/>
      <family val="2"/>
    </font>
    <font>
      <sz val="10"/>
      <color indexed="30"/>
      <name val="Franklin Gothic Demi"/>
      <family val="2"/>
    </font>
    <font>
      <sz val="9"/>
      <color indexed="8"/>
      <name val="Arial"/>
      <family val="2"/>
    </font>
    <font>
      <sz val="8"/>
      <color indexed="8"/>
      <name val="Arial"/>
      <family val="2"/>
    </font>
    <font>
      <sz val="9"/>
      <name val="Arial"/>
      <family val="2"/>
    </font>
    <font>
      <sz val="9.5"/>
      <color indexed="8"/>
      <name val="Arial"/>
      <family val="2"/>
    </font>
    <font>
      <sz val="10"/>
      <name val="Franklin Gothic Demi"/>
      <family val="2"/>
    </font>
    <font>
      <sz val="11"/>
      <color indexed="30"/>
      <name val="Franklin Gothic Demi"/>
      <family val="2"/>
    </font>
    <font>
      <sz val="10"/>
      <color indexed="30"/>
      <name val="Arial"/>
      <family val="2"/>
    </font>
    <font>
      <u val="single"/>
      <sz val="10"/>
      <color indexed="14"/>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0"/>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sz val="10"/>
      <color theme="1"/>
      <name val="Arial"/>
      <family val="2"/>
    </font>
    <font>
      <b/>
      <sz val="11"/>
      <color rgb="FF3F3F3F"/>
      <name val="Arial"/>
      <family val="2"/>
    </font>
    <font>
      <b/>
      <sz val="18"/>
      <color theme="3"/>
      <name val="Franklin Gothic Demi"/>
      <family val="2"/>
    </font>
    <font>
      <b/>
      <sz val="11"/>
      <color theme="1"/>
      <name val="Arial"/>
      <family val="2"/>
    </font>
    <font>
      <sz val="9"/>
      <color theme="1"/>
      <name val="Arial"/>
      <family val="2"/>
    </font>
    <font>
      <sz val="11"/>
      <color rgb="FFFF0000"/>
      <name val="Arial"/>
      <family val="2"/>
    </font>
    <font>
      <sz val="10"/>
      <color rgb="FF0000FF"/>
      <name val="Arial"/>
      <family val="2"/>
    </font>
    <font>
      <u val="single"/>
      <sz val="12"/>
      <color rgb="FF0000FF"/>
      <name val="Arial"/>
      <family val="2"/>
    </font>
    <font>
      <b/>
      <sz val="16"/>
      <color rgb="FF0000FF"/>
      <name val="Arial"/>
      <family val="2"/>
    </font>
    <font>
      <b/>
      <sz val="12"/>
      <color rgb="FF0000FF"/>
      <name val="Arial"/>
      <family val="2"/>
    </font>
    <font>
      <sz val="10"/>
      <color rgb="FF000000"/>
      <name val="Arial"/>
      <family val="2"/>
    </font>
    <font>
      <b/>
      <sz val="10"/>
      <color rgb="FF000000"/>
      <name val="Arial"/>
      <family val="2"/>
    </font>
    <font>
      <u val="single"/>
      <sz val="10"/>
      <color rgb="FF000000"/>
      <name val="Arial"/>
      <family val="2"/>
    </font>
    <font>
      <b/>
      <sz val="10"/>
      <color rgb="FFFF0000"/>
      <name val="Arial"/>
      <family val="2"/>
    </font>
    <font>
      <u val="single"/>
      <sz val="10"/>
      <color rgb="FFFF0000"/>
      <name val="Arial"/>
      <family val="2"/>
    </font>
    <font>
      <sz val="10"/>
      <color rgb="FFFF0000"/>
      <name val="Arial"/>
      <family val="2"/>
    </font>
    <font>
      <b/>
      <sz val="10"/>
      <color rgb="FF0000FF"/>
      <name val="Arial"/>
      <family val="2"/>
    </font>
    <font>
      <u val="single"/>
      <sz val="10"/>
      <color rgb="FF0000FF"/>
      <name val="Arial"/>
      <family val="2"/>
    </font>
    <font>
      <b/>
      <sz val="22.5"/>
      <color theme="0"/>
      <name val="Franklin Gothic Demi"/>
      <family val="2"/>
    </font>
    <font>
      <i/>
      <sz val="12"/>
      <color theme="0"/>
      <name val="Franklin Gothic Demi"/>
      <family val="2"/>
    </font>
    <font>
      <b/>
      <sz val="22.5"/>
      <color theme="1"/>
      <name val="Franklin Gothic Demi"/>
      <family val="2"/>
    </font>
    <font>
      <sz val="12"/>
      <color theme="0"/>
      <name val="Franklin Gothic Demi"/>
      <family val="2"/>
    </font>
    <font>
      <b/>
      <sz val="12"/>
      <color theme="0"/>
      <name val="Franklin Gothic Demi"/>
      <family val="2"/>
    </font>
    <font>
      <sz val="12"/>
      <color rgb="FF000000"/>
      <name val="Franklin Gothic Demi"/>
      <family val="2"/>
    </font>
    <font>
      <i/>
      <sz val="12"/>
      <color rgb="FF000000"/>
      <name val="Franklin Gothic Demi"/>
      <family val="2"/>
    </font>
    <font>
      <sz val="12"/>
      <color theme="1"/>
      <name val="Franklin Gothic Demi"/>
      <family val="2"/>
    </font>
    <font>
      <sz val="12"/>
      <color rgb="FF000000"/>
      <name val="Franklin Gothic Book"/>
      <family val="2"/>
    </font>
    <font>
      <u val="single"/>
      <sz val="12"/>
      <color theme="10"/>
      <name val="Franklin Gothic Demi"/>
      <family val="2"/>
    </font>
    <font>
      <b/>
      <sz val="10"/>
      <color theme="1"/>
      <name val="Arial"/>
      <family val="2"/>
    </font>
    <font>
      <i/>
      <sz val="12"/>
      <color theme="1"/>
      <name val="Arial"/>
      <family val="2"/>
    </font>
    <font>
      <sz val="12"/>
      <color theme="1"/>
      <name val="Franklin Gothic Book"/>
      <family val="2"/>
    </font>
    <font>
      <i/>
      <sz val="12"/>
      <color theme="1"/>
      <name val="Franklin Gothic Book"/>
      <family val="2"/>
    </font>
    <font>
      <b/>
      <sz val="12"/>
      <color theme="1"/>
      <name val="Arial"/>
      <family val="2"/>
    </font>
    <font>
      <sz val="10"/>
      <color rgb="FFFFFF00"/>
      <name val="Arial"/>
      <family val="2"/>
    </font>
    <font>
      <sz val="15"/>
      <color theme="0"/>
      <name val="Franklin Gothic Demi"/>
      <family val="2"/>
    </font>
    <font>
      <sz val="11"/>
      <color theme="0"/>
      <name val="Franklin Gothic Demi"/>
      <family val="2"/>
    </font>
    <font>
      <sz val="10"/>
      <color rgb="FF0078C9"/>
      <name val="Franklin Gothic Demi"/>
      <family val="2"/>
    </font>
    <font>
      <sz val="8"/>
      <color theme="1"/>
      <name val="Arial"/>
      <family val="2"/>
    </font>
    <font>
      <sz val="9.5"/>
      <color theme="1"/>
      <name val="Arial"/>
      <family val="2"/>
    </font>
    <font>
      <sz val="11"/>
      <color rgb="FF0078C9"/>
      <name val="Franklin Gothic Demi"/>
      <family val="2"/>
    </font>
    <font>
      <sz val="10"/>
      <color rgb="FF0078C9"/>
      <name val="Arial"/>
      <family val="2"/>
    </font>
    <font>
      <u val="single"/>
      <sz val="12"/>
      <color theme="0"/>
      <name val="Franklin Gothic Dem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E4819"/>
        <bgColor indexed="64"/>
      </patternFill>
    </fill>
    <fill>
      <patternFill patternType="solid">
        <fgColor rgb="FF99CCFF"/>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10"/>
        <bgColor indexed="64"/>
      </patternFill>
    </fill>
    <fill>
      <patternFill patternType="solid">
        <fgColor indexed="51"/>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rgb="FFFFFF99"/>
        <bgColor indexed="64"/>
      </patternFill>
    </fill>
    <fill>
      <patternFill patternType="solid">
        <fgColor rgb="FFFFFF00"/>
        <bgColor indexed="64"/>
      </patternFill>
    </fill>
    <fill>
      <patternFill patternType="lightUp">
        <bgColor rgb="FF003479"/>
      </patternFill>
    </fill>
    <fill>
      <patternFill patternType="solid">
        <fgColor rgb="FFE0DCD8"/>
        <bgColor indexed="64"/>
      </patternFill>
    </fill>
    <fill>
      <patternFill patternType="solid">
        <fgColor rgb="FF002664"/>
        <bgColor indexed="64"/>
      </patternFill>
    </fill>
    <fill>
      <patternFill patternType="solid">
        <fgColor rgb="FF99FF99"/>
        <bgColor indexed="64"/>
      </patternFill>
    </fill>
    <fill>
      <patternFill patternType="solid">
        <fgColor rgb="FF003479"/>
        <bgColor indexed="64"/>
      </patternFill>
    </fill>
    <fill>
      <patternFill patternType="solid">
        <fgColor theme="0"/>
        <bgColor indexed="64"/>
      </patternFill>
    </fill>
    <fill>
      <patternFill patternType="solid">
        <fgColor rgb="FFBFDDF1"/>
        <bgColor indexed="64"/>
      </patternFill>
    </fill>
    <fill>
      <patternFill patternType="solid">
        <fgColor rgb="FFFCEABF"/>
        <bgColor indexed="64"/>
      </patternFill>
    </fill>
    <fill>
      <patternFill patternType="solid">
        <fgColor rgb="FFF2BFE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hair"/>
      <right style="hair"/>
      <top style="hair"/>
      <bottom style="hair"/>
    </border>
    <border>
      <left/>
      <right/>
      <top/>
      <bottom style="thin">
        <color theme="1"/>
      </bottom>
    </border>
    <border>
      <left style="dotted"/>
      <right/>
      <top/>
      <bottom/>
    </border>
    <border>
      <left/>
      <right style="dotted"/>
      <top/>
      <bottom/>
    </border>
    <border>
      <left style="medium"/>
      <right style="medium"/>
      <top style="medium"/>
      <bottom/>
    </border>
    <border>
      <left style="medium"/>
      <right style="medium"/>
      <top/>
      <bottom/>
    </border>
    <border>
      <left style="medium"/>
      <right style="medium"/>
      <top/>
      <bottom style="medium"/>
    </border>
    <border>
      <left/>
      <right/>
      <top style="dotted"/>
      <bottom style="dotted"/>
    </border>
    <border>
      <left/>
      <right style="dotted"/>
      <top style="dotted"/>
      <bottom style="dotted"/>
    </border>
    <border>
      <left style="dotted"/>
      <right/>
      <top/>
      <bottom style="dotted"/>
    </border>
    <border>
      <left/>
      <right/>
      <top/>
      <bottom style="dotted"/>
    </border>
    <border>
      <left/>
      <right style="dotted"/>
      <top/>
      <bottom style="dotted"/>
    </border>
    <border>
      <left style="dotted"/>
      <right/>
      <top style="dotted"/>
      <bottom/>
    </border>
    <border>
      <left/>
      <right/>
      <top style="dotted"/>
      <bottom/>
    </border>
    <border>
      <left/>
      <right style="dotted"/>
      <top style="dotted"/>
      <bottom/>
    </border>
    <border>
      <left style="dashDot"/>
      <right/>
      <top style="dashDot"/>
      <bottom/>
    </border>
    <border>
      <left/>
      <right/>
      <top style="dashDot"/>
      <bottom/>
    </border>
    <border>
      <left style="dashDotDot"/>
      <right/>
      <top style="dashDotDot"/>
      <bottom/>
    </border>
    <border>
      <left/>
      <right/>
      <top style="dashDotDot"/>
      <bottom/>
    </border>
    <border>
      <left/>
      <right style="dashDotDot"/>
      <top style="dashDotDot"/>
      <bottom/>
    </border>
    <border>
      <left style="dashDotDot"/>
      <right/>
      <top/>
      <bottom/>
    </border>
    <border>
      <left/>
      <right style="dashDotDot"/>
      <top/>
      <bottom/>
    </border>
    <border>
      <left style="dashDotDot"/>
      <right/>
      <top/>
      <bottom style="dashDotDot"/>
    </border>
    <border>
      <left style="dashDot"/>
      <right/>
      <top/>
      <bottom/>
    </border>
    <border>
      <left/>
      <right style="dashDot"/>
      <top/>
      <bottom/>
    </border>
    <border>
      <left/>
      <right style="dashDot"/>
      <top style="dashDot"/>
      <bottom/>
    </border>
    <border>
      <left/>
      <right/>
      <top/>
      <bottom style="dashDotDot"/>
    </border>
    <border>
      <left/>
      <right style="dashDotDot"/>
      <top/>
      <bottom style="dashDotDot"/>
    </border>
    <border>
      <left style="medium"/>
      <right style="medium"/>
      <top style="medium"/>
      <bottom style="medium"/>
    </border>
    <border>
      <left style="medium"/>
      <right style="dashDotDot"/>
      <top style="medium"/>
      <bottom style="medium"/>
    </border>
    <border>
      <left/>
      <right/>
      <top style="thin">
        <color rgb="FF808080"/>
      </top>
      <bottom style="thin">
        <color rgb="FF808080"/>
      </bottom>
    </border>
    <border>
      <left/>
      <right/>
      <top style="medium">
        <color theme="0"/>
      </top>
      <bottom/>
    </border>
    <border>
      <left/>
      <right/>
      <top/>
      <bottom style="thin">
        <color theme="0"/>
      </bottom>
    </border>
    <border>
      <left/>
      <right/>
      <top style="thin"/>
      <bottom style="thin"/>
    </border>
    <border>
      <left/>
      <right/>
      <top/>
      <bottom style="thin"/>
    </border>
    <border>
      <left style="thin"/>
      <right/>
      <top style="thin"/>
      <bottom style="thin"/>
    </border>
    <border>
      <left/>
      <right style="thin"/>
      <top style="thin"/>
      <bottom style="thin"/>
    </border>
    <border>
      <left style="thin"/>
      <right/>
      <top/>
      <bottom style="thin"/>
    </border>
    <border>
      <left/>
      <right style="thin"/>
      <top/>
      <bottom style="thin"/>
    </border>
    <border>
      <left/>
      <right/>
      <top style="thin">
        <color rgb="FF808080"/>
      </top>
      <bottom style="thin"/>
    </border>
    <border>
      <left style="thin">
        <color rgb="FF857362"/>
      </left>
      <right style="thin">
        <color rgb="FF857362"/>
      </right>
      <top style="medium">
        <color rgb="FF857362"/>
      </top>
      <bottom style="medium">
        <color rgb="FF857362"/>
      </bottom>
    </border>
    <border>
      <left style="thin">
        <color rgb="FF857362"/>
      </left>
      <right style="medium">
        <color rgb="FF857362"/>
      </right>
      <top style="medium">
        <color rgb="FF857362"/>
      </top>
      <bottom style="medium">
        <color rgb="FF857362"/>
      </bottom>
    </border>
    <border>
      <left style="thin">
        <color rgb="FF857362"/>
      </left>
      <right/>
      <top style="medium">
        <color rgb="FF857362"/>
      </top>
      <bottom style="medium">
        <color rgb="FF857362"/>
      </bottom>
    </border>
    <border>
      <left style="medium">
        <color rgb="FF857362"/>
      </left>
      <right style="thin">
        <color rgb="FF857362"/>
      </right>
      <top style="medium">
        <color rgb="FF857362"/>
      </top>
      <bottom style="medium">
        <color rgb="FF857362"/>
      </bottom>
    </border>
    <border>
      <left style="medium">
        <color rgb="FF857362"/>
      </left>
      <right/>
      <top style="medium">
        <color rgb="FF857362"/>
      </top>
      <bottom style="medium">
        <color rgb="FF857362"/>
      </bottom>
    </border>
    <border>
      <left style="medium">
        <color rgb="FF857362"/>
      </left>
      <right/>
      <top style="medium">
        <color rgb="FF857362"/>
      </top>
      <bottom/>
    </border>
    <border>
      <left/>
      <right/>
      <top style="medium">
        <color rgb="FF857362"/>
      </top>
      <bottom/>
    </border>
    <border>
      <left style="medium">
        <color rgb="FF857362"/>
      </left>
      <right style="thin">
        <color rgb="FF857362"/>
      </right>
      <top style="medium">
        <color rgb="FF857362"/>
      </top>
      <bottom/>
    </border>
    <border>
      <left style="thin">
        <color rgb="FF857362"/>
      </left>
      <right style="medium">
        <color rgb="FF857362"/>
      </right>
      <top style="medium">
        <color rgb="FF857362"/>
      </top>
      <bottom/>
    </border>
    <border>
      <left style="medium">
        <color rgb="FF857362"/>
      </left>
      <right style="thin">
        <color rgb="FF857362"/>
      </right>
      <top style="medium">
        <color rgb="FF857362"/>
      </top>
      <bottom style="thin">
        <color rgb="FF857362"/>
      </bottom>
    </border>
    <border>
      <left style="thin">
        <color rgb="FF857362"/>
      </left>
      <right style="thin">
        <color rgb="FF857362"/>
      </right>
      <top style="medium">
        <color rgb="FF857362"/>
      </top>
      <bottom style="thin">
        <color rgb="FF857362"/>
      </bottom>
    </border>
    <border>
      <left style="thin">
        <color rgb="FF857362"/>
      </left>
      <right style="medium">
        <color rgb="FF857362"/>
      </right>
      <top style="medium">
        <color rgb="FF857362"/>
      </top>
      <bottom style="thin">
        <color rgb="FF857362"/>
      </bottom>
    </border>
    <border>
      <left style="thin">
        <color rgb="FF857362"/>
      </left>
      <right style="thin">
        <color rgb="FF857362"/>
      </right>
      <top style="medium">
        <color rgb="FF857362"/>
      </top>
      <bottom/>
    </border>
    <border>
      <left style="thin">
        <color rgb="FF857362"/>
      </left>
      <right/>
      <top style="medium">
        <color rgb="FF857362"/>
      </top>
      <bottom style="thin">
        <color rgb="FF857362"/>
      </bottom>
    </border>
    <border>
      <left/>
      <right style="thin">
        <color rgb="FF857362"/>
      </right>
      <top style="medium">
        <color rgb="FF857362"/>
      </top>
      <bottom style="thin">
        <color rgb="FF857362"/>
      </bottom>
    </border>
    <border>
      <left/>
      <right style="medium">
        <color rgb="FF857362"/>
      </right>
      <top style="medium">
        <color rgb="FF857362"/>
      </top>
      <bottom style="thin">
        <color rgb="FF857362"/>
      </bottom>
    </border>
    <border>
      <left style="thin">
        <color theme="0"/>
      </left>
      <right style="thin">
        <color theme="0"/>
      </right>
      <top style="thin">
        <color theme="0"/>
      </top>
      <bottom style="thin">
        <color theme="0"/>
      </bottom>
    </border>
    <border>
      <left style="medium">
        <color rgb="FF857362"/>
      </left>
      <right style="thin">
        <color rgb="FF857362"/>
      </right>
      <top/>
      <bottom style="thin">
        <color rgb="FF857362"/>
      </bottom>
    </border>
    <border>
      <left style="thin">
        <color rgb="FF857362"/>
      </left>
      <right style="thin">
        <color rgb="FF857362"/>
      </right>
      <top/>
      <bottom style="thin">
        <color rgb="FF857362"/>
      </bottom>
    </border>
    <border>
      <left style="thin">
        <color rgb="FF857362"/>
      </left>
      <right style="medium">
        <color rgb="FF857362"/>
      </right>
      <top/>
      <bottom style="thin">
        <color rgb="FF857362"/>
      </bottom>
    </border>
    <border>
      <left style="medium">
        <color rgb="FF857362"/>
      </left>
      <right style="thin">
        <color rgb="FF857362"/>
      </right>
      <top style="thin">
        <color rgb="FF857362"/>
      </top>
      <bottom style="thin">
        <color rgb="FF857362"/>
      </bottom>
    </border>
    <border>
      <left style="thin">
        <color rgb="FF857362"/>
      </left>
      <right style="thin">
        <color rgb="FF857362"/>
      </right>
      <top style="thin">
        <color rgb="FF857362"/>
      </top>
      <bottom style="thin">
        <color rgb="FF857362"/>
      </bottom>
    </border>
    <border>
      <left style="thin">
        <color rgb="FF857362"/>
      </left>
      <right/>
      <top style="thin">
        <color rgb="FF857362"/>
      </top>
      <bottom style="thin">
        <color rgb="FF857362"/>
      </bottom>
    </border>
    <border>
      <left style="thin">
        <color rgb="FF857362"/>
      </left>
      <right style="medium">
        <color rgb="FF857362"/>
      </right>
      <top style="thin">
        <color rgb="FF857362"/>
      </top>
      <bottom style="thin">
        <color rgb="FF857362"/>
      </bottom>
    </border>
    <border>
      <left/>
      <right style="thin">
        <color rgb="FF857362"/>
      </right>
      <top style="thin">
        <color rgb="FF857362"/>
      </top>
      <bottom style="thin">
        <color rgb="FF857362"/>
      </bottom>
    </border>
    <border>
      <left/>
      <right style="medium">
        <color rgb="FF857362"/>
      </right>
      <top style="thin">
        <color rgb="FF857362"/>
      </top>
      <bottom style="thin">
        <color rgb="FF857362"/>
      </bottom>
    </border>
    <border>
      <left style="thin">
        <color rgb="FF857362"/>
      </left>
      <right style="thin">
        <color rgb="FF857362"/>
      </right>
      <top style="thin">
        <color rgb="FF857362"/>
      </top>
      <bottom/>
    </border>
    <border>
      <left style="thin">
        <color rgb="FF857362"/>
      </left>
      <right style="medium">
        <color rgb="FF857362"/>
      </right>
      <top style="thin">
        <color rgb="FF857362"/>
      </top>
      <bottom/>
    </border>
    <border>
      <left style="medium">
        <color rgb="FF857362"/>
      </left>
      <right style="thin">
        <color rgb="FF857362"/>
      </right>
      <top style="thin">
        <color rgb="FF857362"/>
      </top>
      <bottom style="medium">
        <color rgb="FF857362"/>
      </bottom>
    </border>
    <border>
      <left style="thin">
        <color rgb="FF857362"/>
      </left>
      <right style="thin">
        <color rgb="FF857362"/>
      </right>
      <top style="thin">
        <color rgb="FF857362"/>
      </top>
      <bottom style="medium">
        <color rgb="FF857362"/>
      </bottom>
    </border>
    <border>
      <left style="thin">
        <color rgb="FF857362"/>
      </left>
      <right style="medium">
        <color rgb="FF857362"/>
      </right>
      <top style="thin">
        <color rgb="FF857362"/>
      </top>
      <bottom style="medium">
        <color rgb="FF857362"/>
      </bottom>
    </border>
    <border>
      <left/>
      <right style="thin">
        <color rgb="FF857362"/>
      </right>
      <top style="thin">
        <color rgb="FF857362"/>
      </top>
      <bottom style="medium">
        <color rgb="FF857362"/>
      </bottom>
    </border>
    <border>
      <left/>
      <right style="medium">
        <color rgb="FF857362"/>
      </right>
      <top style="thin">
        <color rgb="FF857362"/>
      </top>
      <bottom style="medium">
        <color rgb="FF857362"/>
      </bottom>
    </border>
    <border>
      <left/>
      <right style="thin">
        <color rgb="FF857362"/>
      </right>
      <top style="medium">
        <color rgb="FF857362"/>
      </top>
      <bottom style="medium">
        <color rgb="FF857362"/>
      </bottom>
    </border>
    <border>
      <left/>
      <right style="medium">
        <color rgb="FF857362"/>
      </right>
      <top style="medium">
        <color rgb="FF857362"/>
      </top>
      <bottom style="medium">
        <color rgb="FF857362"/>
      </bottom>
    </border>
    <border>
      <left style="medium">
        <color rgb="FF857362"/>
      </left>
      <right style="thin">
        <color rgb="FF857362"/>
      </right>
      <top/>
      <bottom style="medium">
        <color rgb="FF857362"/>
      </bottom>
    </border>
    <border>
      <left/>
      <right/>
      <top style="thin">
        <color rgb="FF857362"/>
      </top>
      <bottom style="medium">
        <color rgb="FF857362"/>
      </bottom>
    </border>
    <border>
      <left style="thin">
        <color rgb="FF857362"/>
      </left>
      <right/>
      <top style="thin">
        <color rgb="FF857362"/>
      </top>
      <bottom style="medium">
        <color rgb="FF857362"/>
      </bottom>
    </border>
    <border>
      <left style="medium">
        <color rgb="FF857362"/>
      </left>
      <right/>
      <top style="thin">
        <color rgb="FF857362"/>
      </top>
      <bottom style="thin">
        <color rgb="FF857362"/>
      </bottom>
    </border>
    <border>
      <left/>
      <right/>
      <top style="thin">
        <color rgb="FF857362"/>
      </top>
      <bottom style="thin">
        <color rgb="FF857362"/>
      </bottom>
    </border>
    <border>
      <left style="medium">
        <color rgb="FF857362"/>
      </left>
      <right/>
      <top style="thin">
        <color rgb="FF857362"/>
      </top>
      <bottom/>
    </border>
    <border>
      <left style="medium">
        <color rgb="FF857362"/>
      </left>
      <right style="thin">
        <color rgb="FF857362"/>
      </right>
      <top style="thin">
        <color rgb="FF857362"/>
      </top>
      <bottom/>
    </border>
    <border>
      <left/>
      <right/>
      <top style="medium">
        <color rgb="FF857362"/>
      </top>
      <bottom style="thin">
        <color rgb="FF857362"/>
      </bottom>
    </border>
    <border>
      <left/>
      <right/>
      <top style="medium">
        <color rgb="FF857362"/>
      </top>
      <bottom style="medium">
        <color rgb="FF857362"/>
      </bottom>
    </border>
  </borders>
  <cellStyleXfs count="77">
    <xf numFmtId="167" fontId="0" fillId="0" borderId="0" applyFont="0" applyFill="0" applyBorder="0" applyProtection="0">
      <alignment vertical="top"/>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6" fontId="0" fillId="0" borderId="0" applyFont="0" applyFill="0" applyBorder="0" applyProtection="0">
      <alignment vertical="top"/>
    </xf>
    <xf numFmtId="177" fontId="0" fillId="0" borderId="0" applyFont="0" applyFill="0" applyBorder="0" applyProtection="0">
      <alignment vertical="top"/>
    </xf>
    <xf numFmtId="0" fontId="77" fillId="0" borderId="0" applyNumberFormat="0" applyFill="0" applyBorder="0" applyAlignment="0" applyProtection="0"/>
    <xf numFmtId="168" fontId="0" fillId="0" borderId="0" applyFont="0" applyFill="0" applyBorder="0" applyProtection="0">
      <alignment vertical="top"/>
    </xf>
    <xf numFmtId="167"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17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72" fillId="0" borderId="0">
      <alignment/>
      <protection/>
    </xf>
    <xf numFmtId="0" fontId="87" fillId="0" borderId="0">
      <alignment/>
      <protection/>
    </xf>
    <xf numFmtId="167" fontId="72" fillId="0" borderId="0" applyFont="0" applyFill="0" applyBorder="0" applyProtection="0">
      <alignment vertical="top"/>
    </xf>
    <xf numFmtId="0" fontId="0" fillId="0" borderId="0">
      <alignment/>
      <protection/>
    </xf>
    <xf numFmtId="0" fontId="72" fillId="0" borderId="0">
      <alignment/>
      <protection/>
    </xf>
    <xf numFmtId="0" fontId="72" fillId="0" borderId="0">
      <alignment/>
      <protection/>
    </xf>
    <xf numFmtId="0" fontId="72" fillId="0" borderId="0">
      <alignment/>
      <protection/>
    </xf>
    <xf numFmtId="0" fontId="1" fillId="0" borderId="0">
      <alignment/>
      <protection/>
    </xf>
    <xf numFmtId="0" fontId="0" fillId="0" borderId="0">
      <alignment/>
      <protection/>
    </xf>
    <xf numFmtId="0" fontId="72" fillId="0" borderId="0">
      <alignment/>
      <protection/>
    </xf>
    <xf numFmtId="167" fontId="0" fillId="0" borderId="0" applyFont="0" applyFill="0" applyBorder="0" applyProtection="0">
      <alignment vertical="top"/>
    </xf>
    <xf numFmtId="0" fontId="0" fillId="32" borderId="7" applyNumberFormat="0" applyFont="0" applyAlignment="0" applyProtection="0"/>
    <xf numFmtId="0" fontId="88" fillId="27" borderId="8" applyNumberFormat="0" applyAlignment="0" applyProtection="0"/>
    <xf numFmtId="169" fontId="0" fillId="0" borderId="0" applyFont="0" applyFill="0" applyBorder="0" applyProtection="0">
      <alignment vertical="top"/>
    </xf>
    <xf numFmtId="169" fontId="72" fillId="0" borderId="0" applyFont="0" applyFill="0" applyBorder="0" applyProtection="0">
      <alignment vertical="top"/>
    </xf>
    <xf numFmtId="0" fontId="89" fillId="0" borderId="0" applyNumberFormat="0" applyFill="0" applyBorder="0" applyAlignment="0" applyProtection="0"/>
    <xf numFmtId="0" fontId="90" fillId="0" borderId="9" applyNumberFormat="0" applyFill="0" applyAlignment="0" applyProtection="0"/>
    <xf numFmtId="0" fontId="91" fillId="33" borderId="0" applyBorder="0">
      <alignment/>
      <protection/>
    </xf>
    <xf numFmtId="0" fontId="92" fillId="0" borderId="0" applyNumberFormat="0" applyFill="0" applyBorder="0" applyAlignment="0" applyProtection="0"/>
    <xf numFmtId="175" fontId="0" fillId="0" borderId="0" applyFont="0" applyFill="0" applyBorder="0" applyProtection="0">
      <alignment vertical="top"/>
    </xf>
    <xf numFmtId="175" fontId="0" fillId="0" borderId="0" applyFont="0" applyFill="0" applyBorder="0" applyProtection="0">
      <alignment vertical="top"/>
    </xf>
  </cellStyleXfs>
  <cellXfs count="602">
    <xf numFmtId="167" fontId="0" fillId="0" borderId="0" xfId="0" applyAlignment="1">
      <alignment vertical="top"/>
    </xf>
    <xf numFmtId="167" fontId="0" fillId="0" borderId="0" xfId="0" applyAlignment="1">
      <alignment horizontal="right"/>
    </xf>
    <xf numFmtId="170" fontId="5" fillId="0" borderId="0" xfId="0" applyNumberFormat="1" applyFont="1" applyAlignment="1">
      <alignment vertical="top"/>
    </xf>
    <xf numFmtId="177" fontId="5" fillId="0" borderId="0" xfId="43" applyFont="1">
      <alignment vertical="top"/>
    </xf>
    <xf numFmtId="167" fontId="0" fillId="0" borderId="0" xfId="0" applyFont="1" applyAlignment="1">
      <alignment vertical="top"/>
    </xf>
    <xf numFmtId="170" fontId="0" fillId="0" borderId="0" xfId="0" applyNumberFormat="1" applyAlignment="1">
      <alignment vertical="top"/>
    </xf>
    <xf numFmtId="170" fontId="0" fillId="0" borderId="0" xfId="0" applyNumberFormat="1" applyAlignment="1">
      <alignment horizontal="left" vertical="top"/>
    </xf>
    <xf numFmtId="173" fontId="7" fillId="0" borderId="0" xfId="0" applyNumberFormat="1" applyFont="1" applyAlignment="1">
      <alignment vertical="top"/>
    </xf>
    <xf numFmtId="177" fontId="0" fillId="0" borderId="0" xfId="43" applyAlignment="1">
      <alignment horizontal="left" vertical="top"/>
    </xf>
    <xf numFmtId="167" fontId="93" fillId="0" borderId="0" xfId="0" applyFont="1" applyAlignment="1">
      <alignment vertical="top"/>
    </xf>
    <xf numFmtId="170" fontId="0" fillId="0" borderId="0" xfId="0" applyNumberFormat="1" applyFont="1" applyAlignment="1">
      <alignment horizontal="right" vertical="top"/>
    </xf>
    <xf numFmtId="177" fontId="0" fillId="0" borderId="0" xfId="43" applyAlignment="1">
      <alignment horizontal="right" vertical="top"/>
    </xf>
    <xf numFmtId="177" fontId="0" fillId="0" borderId="0" xfId="43">
      <alignment vertical="top"/>
    </xf>
    <xf numFmtId="174" fontId="0" fillId="0" borderId="0" xfId="0" applyNumberFormat="1" applyFont="1" applyAlignment="1">
      <alignment vertical="top"/>
    </xf>
    <xf numFmtId="176" fontId="0" fillId="0" borderId="0" xfId="42">
      <alignment vertical="top"/>
    </xf>
    <xf numFmtId="176" fontId="93" fillId="0" borderId="0" xfId="42" applyFont="1">
      <alignment vertical="top"/>
    </xf>
    <xf numFmtId="171" fontId="5" fillId="0" borderId="0" xfId="0" applyNumberFormat="1" applyFont="1" applyAlignment="1">
      <alignment vertical="top"/>
    </xf>
    <xf numFmtId="171" fontId="6" fillId="0" borderId="0" xfId="0" applyNumberFormat="1" applyFont="1" applyAlignment="1">
      <alignment vertical="top"/>
    </xf>
    <xf numFmtId="175" fontId="0" fillId="0" borderId="0" xfId="75" applyFont="1">
      <alignment vertical="top"/>
    </xf>
    <xf numFmtId="171" fontId="93" fillId="0" borderId="0" xfId="0" applyNumberFormat="1" applyFont="1" applyAlignment="1">
      <alignment vertical="top"/>
    </xf>
    <xf numFmtId="167" fontId="0" fillId="0" borderId="0" xfId="0" applyFont="1" applyAlignment="1">
      <alignment horizontal="right" vertical="top"/>
    </xf>
    <xf numFmtId="170" fontId="0" fillId="0" borderId="0" xfId="0" applyNumberFormat="1" applyFont="1" applyAlignment="1">
      <alignment vertical="top"/>
    </xf>
    <xf numFmtId="167" fontId="2" fillId="0" borderId="0" xfId="0" applyFont="1" applyAlignment="1">
      <alignment vertical="top"/>
    </xf>
    <xf numFmtId="167" fontId="3" fillId="0" borderId="0" xfId="0" applyFont="1" applyAlignment="1">
      <alignment vertical="top"/>
    </xf>
    <xf numFmtId="173" fontId="0" fillId="0" borderId="0" xfId="0" applyNumberFormat="1" applyFont="1" applyAlignment="1">
      <alignment vertical="top"/>
    </xf>
    <xf numFmtId="176" fontId="93" fillId="0" borderId="0" xfId="0" applyNumberFormat="1" applyFont="1" applyAlignment="1">
      <alignment vertical="top"/>
    </xf>
    <xf numFmtId="167" fontId="8" fillId="0" borderId="0" xfId="0" applyFont="1" applyAlignment="1">
      <alignment horizontal="left" vertical="top"/>
    </xf>
    <xf numFmtId="167" fontId="0" fillId="0" borderId="0" xfId="0" applyFont="1" applyAlignment="1">
      <alignment horizontal="right"/>
    </xf>
    <xf numFmtId="176" fontId="0" fillId="0" borderId="0" xfId="42" applyAlignment="1">
      <alignment horizontal="left" vertical="top"/>
    </xf>
    <xf numFmtId="176" fontId="0" fillId="0" borderId="0" xfId="0" applyNumberFormat="1" applyFont="1" applyAlignment="1">
      <alignment vertical="top"/>
    </xf>
    <xf numFmtId="167" fontId="0" fillId="34" borderId="10" xfId="0" applyFont="1" applyFill="1" applyBorder="1" applyAlignment="1">
      <alignment vertical="top"/>
    </xf>
    <xf numFmtId="167" fontId="0" fillId="30" borderId="10" xfId="0" applyFont="1" applyFill="1" applyBorder="1" applyAlignment="1">
      <alignment vertical="top"/>
    </xf>
    <xf numFmtId="167" fontId="5" fillId="0" borderId="11" xfId="0" applyFont="1" applyBorder="1" applyAlignment="1">
      <alignment vertical="top"/>
    </xf>
    <xf numFmtId="167" fontId="0" fillId="0" borderId="11" xfId="0" applyFont="1" applyBorder="1" applyAlignment="1">
      <alignment vertical="top"/>
    </xf>
    <xf numFmtId="167" fontId="6" fillId="0" borderId="0" xfId="0" applyFont="1" applyAlignment="1">
      <alignment vertical="top"/>
    </xf>
    <xf numFmtId="167" fontId="5" fillId="0" borderId="0" xfId="0" applyFont="1" applyAlignment="1">
      <alignment vertical="top"/>
    </xf>
    <xf numFmtId="167" fontId="4" fillId="0" borderId="0" xfId="0" applyFont="1" applyAlignment="1">
      <alignment vertical="top"/>
    </xf>
    <xf numFmtId="171" fontId="0" fillId="0" borderId="0" xfId="0" applyNumberFormat="1" applyFont="1" applyAlignment="1">
      <alignment vertical="top"/>
    </xf>
    <xf numFmtId="167" fontId="5" fillId="0" borderId="0" xfId="0" applyFont="1" applyAlignment="1">
      <alignment horizontal="right" vertical="top"/>
    </xf>
    <xf numFmtId="178" fontId="0" fillId="0" borderId="0" xfId="0" applyNumberFormat="1" applyFont="1" applyAlignment="1">
      <alignment vertical="top"/>
    </xf>
    <xf numFmtId="167" fontId="5" fillId="0" borderId="0" xfId="0" applyFont="1" applyAlignment="1">
      <alignment horizontal="center" vertical="top"/>
    </xf>
    <xf numFmtId="170" fontId="2" fillId="0" borderId="0" xfId="0" applyNumberFormat="1" applyFont="1" applyAlignment="1">
      <alignment vertical="top"/>
    </xf>
    <xf numFmtId="170" fontId="94" fillId="0" borderId="0" xfId="0" applyNumberFormat="1" applyFont="1" applyAlignment="1">
      <alignment horizontal="center" vertical="top"/>
    </xf>
    <xf numFmtId="167" fontId="5" fillId="34" borderId="0" xfId="0" applyFont="1" applyFill="1" applyAlignment="1">
      <alignment vertical="top"/>
    </xf>
    <xf numFmtId="167" fontId="0" fillId="34" borderId="0" xfId="0" applyFont="1" applyFill="1" applyAlignment="1">
      <alignment vertical="top"/>
    </xf>
    <xf numFmtId="167" fontId="5" fillId="34" borderId="0" xfId="0" applyFont="1" applyFill="1" applyAlignment="1">
      <alignment horizontal="left" vertical="top"/>
    </xf>
    <xf numFmtId="167" fontId="10" fillId="0" borderId="0" xfId="0" applyFont="1" applyAlignment="1">
      <alignment vertical="top"/>
    </xf>
    <xf numFmtId="167" fontId="13" fillId="0" borderId="0" xfId="0" applyFont="1" applyAlignment="1">
      <alignment vertical="top"/>
    </xf>
    <xf numFmtId="167" fontId="0" fillId="0" borderId="12" xfId="0" applyFont="1" applyBorder="1" applyAlignment="1">
      <alignment vertical="top"/>
    </xf>
    <xf numFmtId="167" fontId="0" fillId="0" borderId="0" xfId="0" applyFont="1" applyAlignment="1">
      <alignment horizontal="center" vertical="top"/>
    </xf>
    <xf numFmtId="167" fontId="0" fillId="0" borderId="13" xfId="0" applyFont="1" applyBorder="1" applyAlignment="1">
      <alignment vertical="top"/>
    </xf>
    <xf numFmtId="167" fontId="0" fillId="35" borderId="14" xfId="0" applyFont="1" applyFill="1" applyBorder="1" applyAlignment="1">
      <alignment vertical="top"/>
    </xf>
    <xf numFmtId="167" fontId="11" fillId="35" borderId="15" xfId="0" applyFont="1" applyFill="1" applyBorder="1" applyAlignment="1">
      <alignment horizontal="center" vertical="top"/>
    </xf>
    <xf numFmtId="167" fontId="0" fillId="35" borderId="16" xfId="0" applyFont="1" applyFill="1" applyBorder="1" applyAlignment="1">
      <alignment vertical="top"/>
    </xf>
    <xf numFmtId="167" fontId="10" fillId="35" borderId="17" xfId="0" applyFont="1" applyFill="1" applyBorder="1" applyAlignment="1">
      <alignment horizontal="centerContinuous" vertical="top"/>
    </xf>
    <xf numFmtId="167" fontId="13" fillId="35" borderId="17" xfId="0" applyFont="1" applyFill="1" applyBorder="1" applyAlignment="1">
      <alignment horizontal="centerContinuous" vertical="top"/>
    </xf>
    <xf numFmtId="167" fontId="13" fillId="35" borderId="18" xfId="0" applyFont="1" applyFill="1" applyBorder="1" applyAlignment="1">
      <alignment horizontal="centerContinuous" vertical="top"/>
    </xf>
    <xf numFmtId="167" fontId="0" fillId="0" borderId="19" xfId="0" applyFont="1" applyBorder="1" applyAlignment="1">
      <alignment vertical="top"/>
    </xf>
    <xf numFmtId="167" fontId="0" fillId="0" borderId="20" xfId="0" applyFont="1" applyBorder="1" applyAlignment="1">
      <alignment vertical="top"/>
    </xf>
    <xf numFmtId="167" fontId="0" fillId="0" borderId="20" xfId="0" applyFont="1" applyBorder="1" applyAlignment="1">
      <alignment horizontal="center" vertical="top"/>
    </xf>
    <xf numFmtId="167" fontId="0" fillId="0" borderId="21" xfId="0" applyFont="1" applyBorder="1" applyAlignment="1">
      <alignment vertical="top"/>
    </xf>
    <xf numFmtId="167" fontId="34" fillId="0" borderId="0" xfId="0" applyFont="1" applyAlignment="1">
      <alignment vertical="top"/>
    </xf>
    <xf numFmtId="167" fontId="0" fillId="0" borderId="22" xfId="0" applyFont="1" applyBorder="1" applyAlignment="1">
      <alignment vertical="top"/>
    </xf>
    <xf numFmtId="167" fontId="0" fillId="0" borderId="23" xfId="0" applyFont="1" applyBorder="1" applyAlignment="1">
      <alignment vertical="top"/>
    </xf>
    <xf numFmtId="167" fontId="0" fillId="0" borderId="23" xfId="0" applyFont="1" applyBorder="1" applyAlignment="1">
      <alignment horizontal="center" vertical="top"/>
    </xf>
    <xf numFmtId="167" fontId="0" fillId="0" borderId="24" xfId="0" applyFont="1" applyBorder="1" applyAlignment="1">
      <alignment vertical="top"/>
    </xf>
    <xf numFmtId="167" fontId="0" fillId="0" borderId="25" xfId="0" applyFont="1" applyBorder="1" applyAlignment="1">
      <alignment horizontal="right" vertical="top"/>
    </xf>
    <xf numFmtId="167" fontId="0" fillId="0" borderId="26" xfId="0" applyFont="1" applyBorder="1" applyAlignment="1">
      <alignment horizontal="center" vertical="top"/>
    </xf>
    <xf numFmtId="167" fontId="0" fillId="0" borderId="27" xfId="0" applyFont="1" applyBorder="1" applyAlignment="1">
      <alignment vertical="top"/>
    </xf>
    <xf numFmtId="167" fontId="0" fillId="0" borderId="28" xfId="0" applyFont="1" applyBorder="1" applyAlignment="1">
      <alignment vertical="top"/>
    </xf>
    <xf numFmtId="167" fontId="0" fillId="0" borderId="29" xfId="0" applyFont="1" applyBorder="1" applyAlignment="1">
      <alignment vertical="top"/>
    </xf>
    <xf numFmtId="167" fontId="0" fillId="0" borderId="30" xfId="0" applyFont="1" applyBorder="1" applyAlignment="1">
      <alignment vertical="top"/>
    </xf>
    <xf numFmtId="167" fontId="0" fillId="0" borderId="31" xfId="0" applyFont="1" applyBorder="1" applyAlignment="1">
      <alignment vertical="top"/>
    </xf>
    <xf numFmtId="167" fontId="0" fillId="0" borderId="32" xfId="0" applyFont="1" applyBorder="1" applyAlignment="1">
      <alignment horizontal="right" vertical="top"/>
    </xf>
    <xf numFmtId="167" fontId="0" fillId="0" borderId="20" xfId="0" applyFont="1" applyBorder="1" applyAlignment="1">
      <alignment horizontal="right" vertical="top"/>
    </xf>
    <xf numFmtId="167" fontId="0" fillId="0" borderId="0" xfId="0" applyFont="1" applyAlignment="1">
      <alignment horizontal="center"/>
    </xf>
    <xf numFmtId="167" fontId="0" fillId="0" borderId="0" xfId="0" applyFont="1" applyAlignment="1">
      <alignment horizontal="left" vertical="top"/>
    </xf>
    <xf numFmtId="167" fontId="0" fillId="35" borderId="0" xfId="0" applyFont="1" applyFill="1" applyAlignment="1">
      <alignment horizontal="left" vertical="top"/>
    </xf>
    <xf numFmtId="167" fontId="0" fillId="36" borderId="0" xfId="0" applyFont="1" applyFill="1" applyAlignment="1">
      <alignment horizontal="left" vertical="top"/>
    </xf>
    <xf numFmtId="167" fontId="0" fillId="37" borderId="0" xfId="0" applyFont="1" applyFill="1" applyAlignment="1">
      <alignment horizontal="left" vertical="top"/>
    </xf>
    <xf numFmtId="167" fontId="7" fillId="0" borderId="0" xfId="0" applyFont="1" applyAlignment="1">
      <alignment vertical="top"/>
    </xf>
    <xf numFmtId="167" fontId="14" fillId="0" borderId="0" xfId="0" applyFont="1" applyAlignment="1">
      <alignment vertical="top"/>
    </xf>
    <xf numFmtId="167" fontId="0" fillId="35" borderId="0" xfId="0" applyFont="1" applyFill="1" applyAlignment="1">
      <alignment vertical="top"/>
    </xf>
    <xf numFmtId="167" fontId="0" fillId="36" borderId="0" xfId="0" applyFont="1" applyFill="1" applyAlignment="1">
      <alignment vertical="top"/>
    </xf>
    <xf numFmtId="167" fontId="0" fillId="38" borderId="0" xfId="0" applyFont="1" applyFill="1" applyAlignment="1">
      <alignment vertical="top"/>
    </xf>
    <xf numFmtId="167" fontId="0" fillId="37" borderId="0" xfId="0" applyFont="1" applyFill="1" applyAlignment="1">
      <alignment vertical="top"/>
    </xf>
    <xf numFmtId="167" fontId="0" fillId="39" borderId="0" xfId="0" applyFont="1" applyFill="1" applyAlignment="1">
      <alignment vertical="top"/>
    </xf>
    <xf numFmtId="167" fontId="0" fillId="40" borderId="0" xfId="0" applyFont="1" applyFill="1" applyAlignment="1">
      <alignment vertical="top"/>
    </xf>
    <xf numFmtId="167" fontId="95" fillId="0" borderId="0" xfId="0" applyFont="1" applyAlignment="1">
      <alignment vertical="top"/>
    </xf>
    <xf numFmtId="167" fontId="36" fillId="0" borderId="0" xfId="0" applyFont="1" applyAlignment="1">
      <alignment vertical="center"/>
    </xf>
    <xf numFmtId="167" fontId="36" fillId="0" borderId="12" xfId="0" applyFont="1" applyBorder="1" applyAlignment="1">
      <alignment vertical="center"/>
    </xf>
    <xf numFmtId="167" fontId="36" fillId="0" borderId="33" xfId="0" applyFont="1" applyBorder="1" applyAlignment="1">
      <alignment horizontal="right" vertical="center"/>
    </xf>
    <xf numFmtId="167" fontId="36" fillId="0" borderId="34" xfId="0" applyFont="1" applyBorder="1" applyAlignment="1">
      <alignment vertical="center"/>
    </xf>
    <xf numFmtId="167" fontId="36" fillId="0" borderId="13" xfId="0" applyFont="1" applyBorder="1" applyAlignment="1">
      <alignment vertical="center"/>
    </xf>
    <xf numFmtId="167" fontId="36" fillId="0" borderId="30" xfId="0" applyFont="1" applyBorder="1" applyAlignment="1">
      <alignment vertical="center"/>
    </xf>
    <xf numFmtId="167" fontId="36" fillId="0" borderId="31" xfId="0" applyFont="1" applyBorder="1" applyAlignment="1">
      <alignment vertical="center"/>
    </xf>
    <xf numFmtId="167" fontId="0" fillId="0" borderId="0" xfId="0" applyFont="1" applyAlignment="1">
      <alignment vertical="center"/>
    </xf>
    <xf numFmtId="167" fontId="0" fillId="0" borderId="0" xfId="0" applyFont="1" applyAlignment="1">
      <alignment horizontal="center" vertical="center"/>
    </xf>
    <xf numFmtId="167" fontId="0" fillId="0" borderId="35" xfId="0" applyFont="1" applyBorder="1" applyAlignment="1">
      <alignment vertical="top"/>
    </xf>
    <xf numFmtId="167" fontId="0" fillId="0" borderId="36" xfId="0" applyFont="1" applyBorder="1" applyAlignment="1">
      <alignment horizontal="center" vertical="top" wrapText="1"/>
    </xf>
    <xf numFmtId="167" fontId="0" fillId="0" borderId="37" xfId="0" applyFont="1" applyBorder="1" applyAlignment="1">
      <alignment vertical="top"/>
    </xf>
    <xf numFmtId="167" fontId="0" fillId="0" borderId="33" xfId="0" applyFont="1" applyBorder="1" applyAlignment="1">
      <alignment horizontal="right" vertical="top"/>
    </xf>
    <xf numFmtId="167" fontId="0" fillId="0" borderId="34" xfId="0" applyFont="1" applyBorder="1" applyAlignment="1">
      <alignment vertical="top"/>
    </xf>
    <xf numFmtId="167" fontId="0" fillId="0" borderId="0" xfId="0" applyFont="1" applyAlignment="1">
      <alignment horizontal="center" vertical="top" wrapText="1"/>
    </xf>
    <xf numFmtId="167" fontId="0" fillId="41" borderId="0" xfId="0" applyFont="1" applyFill="1" applyAlignment="1">
      <alignment vertical="top"/>
    </xf>
    <xf numFmtId="167" fontId="11" fillId="41" borderId="17" xfId="0" applyFont="1" applyFill="1" applyBorder="1" applyAlignment="1">
      <alignment horizontal="centerContinuous" vertical="top"/>
    </xf>
    <xf numFmtId="167" fontId="12" fillId="41" borderId="17" xfId="0" applyFont="1" applyFill="1" applyBorder="1" applyAlignment="1">
      <alignment horizontal="centerContinuous" vertical="top"/>
    </xf>
    <xf numFmtId="167" fontId="9" fillId="41" borderId="17" xfId="0" applyFont="1" applyFill="1" applyBorder="1" applyAlignment="1">
      <alignment horizontal="centerContinuous" vertical="top"/>
    </xf>
    <xf numFmtId="167" fontId="12" fillId="41" borderId="18" xfId="0" applyFont="1" applyFill="1" applyBorder="1" applyAlignment="1">
      <alignment horizontal="centerContinuous" vertical="top"/>
    </xf>
    <xf numFmtId="167" fontId="0" fillId="42" borderId="14" xfId="0" applyFont="1" applyFill="1" applyBorder="1" applyAlignment="1">
      <alignment vertical="top"/>
    </xf>
    <xf numFmtId="167" fontId="11" fillId="42" borderId="15" xfId="0" applyFont="1" applyFill="1" applyBorder="1" applyAlignment="1">
      <alignment horizontal="center" vertical="top"/>
    </xf>
    <xf numFmtId="167" fontId="0" fillId="42" borderId="16" xfId="0" applyFont="1" applyFill="1" applyBorder="1" applyAlignment="1">
      <alignment vertical="top"/>
    </xf>
    <xf numFmtId="167" fontId="0" fillId="41" borderId="14" xfId="0" applyFont="1" applyFill="1" applyBorder="1" applyAlignment="1">
      <alignment vertical="top"/>
    </xf>
    <xf numFmtId="167" fontId="11" fillId="41" borderId="15" xfId="0" applyFont="1" applyFill="1" applyBorder="1" applyAlignment="1">
      <alignment horizontal="center" vertical="top"/>
    </xf>
    <xf numFmtId="167" fontId="0" fillId="41" borderId="15" xfId="0" applyFont="1" applyFill="1" applyBorder="1" applyAlignment="1">
      <alignment vertical="top"/>
    </xf>
    <xf numFmtId="167" fontId="37" fillId="41" borderId="17" xfId="0" applyFont="1" applyFill="1" applyBorder="1" applyAlignment="1">
      <alignment horizontal="centerContinuous" vertical="top"/>
    </xf>
    <xf numFmtId="167" fontId="38" fillId="41" borderId="17" xfId="0" applyFont="1" applyFill="1" applyBorder="1" applyAlignment="1">
      <alignment horizontal="centerContinuous" vertical="top"/>
    </xf>
    <xf numFmtId="167" fontId="38" fillId="41" borderId="18" xfId="0" applyFont="1" applyFill="1" applyBorder="1" applyAlignment="1">
      <alignment horizontal="centerContinuous" vertical="top"/>
    </xf>
    <xf numFmtId="167" fontId="40" fillId="42" borderId="38" xfId="0" applyFont="1" applyFill="1" applyBorder="1" applyAlignment="1">
      <alignment horizontal="center" vertical="center"/>
    </xf>
    <xf numFmtId="167" fontId="0" fillId="42" borderId="0" xfId="0" applyFont="1" applyFill="1" applyAlignment="1">
      <alignment horizontal="left" vertical="top"/>
    </xf>
    <xf numFmtId="167" fontId="0" fillId="41" borderId="0" xfId="0" applyFont="1" applyFill="1" applyAlignment="1">
      <alignment horizontal="left" vertical="top"/>
    </xf>
    <xf numFmtId="167" fontId="0" fillId="42" borderId="0" xfId="0" applyFont="1" applyFill="1" applyAlignment="1">
      <alignment vertical="top"/>
    </xf>
    <xf numFmtId="167" fontId="7" fillId="41" borderId="0" xfId="0" applyFont="1" applyFill="1" applyAlignment="1">
      <alignment vertical="top"/>
    </xf>
    <xf numFmtId="167" fontId="0" fillId="43" borderId="0" xfId="0" applyFont="1" applyFill="1" applyAlignment="1">
      <alignment vertical="top"/>
    </xf>
    <xf numFmtId="167" fontId="0" fillId="41" borderId="0" xfId="0" applyFont="1" applyFill="1" applyAlignment="1">
      <alignment horizontal="right" vertical="top"/>
    </xf>
    <xf numFmtId="167" fontId="5" fillId="41" borderId="0" xfId="0" applyFont="1" applyFill="1" applyAlignment="1">
      <alignment vertical="top"/>
    </xf>
    <xf numFmtId="176" fontId="0" fillId="42" borderId="10" xfId="42" applyFill="1" applyBorder="1">
      <alignment vertical="top"/>
    </xf>
    <xf numFmtId="167" fontId="0" fillId="41" borderId="10" xfId="0" applyFont="1" applyFill="1" applyBorder="1" applyAlignment="1">
      <alignment vertical="top"/>
    </xf>
    <xf numFmtId="171" fontId="0" fillId="41" borderId="10" xfId="0" applyNumberFormat="1" applyFont="1" applyFill="1" applyBorder="1" applyAlignment="1">
      <alignment vertical="top"/>
    </xf>
    <xf numFmtId="177" fontId="0" fillId="41" borderId="0" xfId="43" applyFill="1">
      <alignment vertical="top"/>
    </xf>
    <xf numFmtId="174" fontId="0" fillId="41" borderId="0" xfId="0" applyNumberFormat="1" applyFont="1" applyFill="1" applyAlignment="1">
      <alignment vertical="top"/>
    </xf>
    <xf numFmtId="167" fontId="0" fillId="41" borderId="0" xfId="0" applyFill="1" applyAlignment="1">
      <alignment vertical="top"/>
    </xf>
    <xf numFmtId="167" fontId="6" fillId="41" borderId="0" xfId="0" applyFont="1" applyFill="1" applyAlignment="1">
      <alignment vertical="top"/>
    </xf>
    <xf numFmtId="172" fontId="8" fillId="0" borderId="0" xfId="0" applyNumberFormat="1" applyFont="1" applyAlignment="1">
      <alignment horizontal="left" vertical="top"/>
    </xf>
    <xf numFmtId="167" fontId="0" fillId="44" borderId="0" xfId="0" applyFont="1" applyFill="1" applyAlignment="1">
      <alignment vertical="top"/>
    </xf>
    <xf numFmtId="167" fontId="40" fillId="41" borderId="38" xfId="0" applyFont="1" applyFill="1" applyBorder="1" applyAlignment="1">
      <alignment horizontal="center" vertical="center"/>
    </xf>
    <xf numFmtId="178" fontId="0" fillId="42" borderId="10" xfId="0" applyNumberFormat="1" applyFont="1" applyFill="1" applyBorder="1" applyAlignment="1">
      <alignment vertical="top"/>
    </xf>
    <xf numFmtId="167" fontId="5" fillId="41" borderId="0" xfId="0" applyFont="1" applyFill="1" applyAlignment="1">
      <alignment horizontal="right" vertical="top"/>
    </xf>
    <xf numFmtId="167" fontId="0" fillId="0" borderId="32" xfId="0" applyFont="1" applyBorder="1" applyAlignment="1">
      <alignment vertical="top"/>
    </xf>
    <xf numFmtId="167" fontId="96" fillId="0" borderId="0" xfId="0" applyFont="1" applyAlignment="1">
      <alignment horizontal="left" vertical="center"/>
    </xf>
    <xf numFmtId="175" fontId="0" fillId="0" borderId="0" xfId="75" applyFont="1">
      <alignment vertical="top"/>
    </xf>
    <xf numFmtId="175" fontId="0" fillId="42" borderId="0" xfId="75" applyFont="1" applyFill="1">
      <alignment vertical="top"/>
    </xf>
    <xf numFmtId="167" fontId="40" fillId="0" borderId="0" xfId="0" applyFont="1" applyAlignment="1">
      <alignment horizontal="center" vertical="center"/>
    </xf>
    <xf numFmtId="167" fontId="41" fillId="0" borderId="0" xfId="0" applyFont="1" applyAlignment="1">
      <alignment horizontal="centerContinuous" vertical="center"/>
    </xf>
    <xf numFmtId="167" fontId="5" fillId="0" borderId="0" xfId="0" applyFont="1" applyAlignment="1">
      <alignment horizontal="centerContinuous" vertical="top"/>
    </xf>
    <xf numFmtId="167" fontId="37" fillId="0" borderId="0" xfId="0" applyFont="1" applyAlignment="1">
      <alignment horizontal="centerContinuous" vertical="top"/>
    </xf>
    <xf numFmtId="167" fontId="38" fillId="0" borderId="0" xfId="0" applyFont="1" applyAlignment="1">
      <alignment horizontal="centerContinuous" vertical="top"/>
    </xf>
    <xf numFmtId="178" fontId="0" fillId="0" borderId="0" xfId="45" applyNumberFormat="1" applyFont="1">
      <alignment vertical="top"/>
    </xf>
    <xf numFmtId="169" fontId="93" fillId="0" borderId="0" xfId="69" applyFont="1">
      <alignment vertical="top"/>
    </xf>
    <xf numFmtId="167" fontId="97" fillId="0" borderId="0" xfId="0" applyFont="1" applyAlignment="1">
      <alignment vertical="top"/>
    </xf>
    <xf numFmtId="178" fontId="5" fillId="0" borderId="0" xfId="0" applyNumberFormat="1" applyFont="1" applyAlignment="1">
      <alignment vertical="top"/>
    </xf>
    <xf numFmtId="178" fontId="6" fillId="0" borderId="0" xfId="0" applyNumberFormat="1" applyFont="1" applyAlignment="1">
      <alignment vertical="top"/>
    </xf>
    <xf numFmtId="168" fontId="0" fillId="0" borderId="0" xfId="45" applyFont="1">
      <alignment vertical="top"/>
    </xf>
    <xf numFmtId="178" fontId="97" fillId="0" borderId="0" xfId="0" applyNumberFormat="1" applyFont="1" applyAlignment="1">
      <alignment vertical="top"/>
    </xf>
    <xf numFmtId="178" fontId="97" fillId="42" borderId="0" xfId="0" applyNumberFormat="1" applyFont="1" applyFill="1" applyAlignment="1">
      <alignment vertical="top"/>
    </xf>
    <xf numFmtId="169" fontId="97" fillId="42" borderId="0" xfId="69" applyFont="1" applyFill="1">
      <alignment vertical="top"/>
    </xf>
    <xf numFmtId="169" fontId="97" fillId="0" borderId="0" xfId="69" applyFont="1">
      <alignment vertical="top"/>
    </xf>
    <xf numFmtId="178" fontId="98" fillId="0" borderId="0" xfId="0" applyNumberFormat="1" applyFont="1" applyAlignment="1">
      <alignment vertical="top"/>
    </xf>
    <xf numFmtId="178" fontId="99" fillId="0" borderId="0" xfId="0" applyNumberFormat="1" applyFont="1" applyAlignment="1">
      <alignment vertical="top"/>
    </xf>
    <xf numFmtId="178" fontId="97" fillId="0" borderId="0" xfId="0" applyNumberFormat="1" applyFont="1" applyAlignment="1">
      <alignment vertical="top"/>
    </xf>
    <xf numFmtId="169" fontId="93" fillId="0" borderId="0" xfId="69" applyFont="1">
      <alignment vertical="top"/>
    </xf>
    <xf numFmtId="167" fontId="36" fillId="0" borderId="28" xfId="0" applyFont="1" applyBorder="1" applyAlignment="1">
      <alignment vertical="center"/>
    </xf>
    <xf numFmtId="167" fontId="40" fillId="0" borderId="28" xfId="0" applyFont="1" applyBorder="1" applyAlignment="1">
      <alignment horizontal="center" vertical="center"/>
    </xf>
    <xf numFmtId="167" fontId="98" fillId="0" borderId="0" xfId="0" applyFont="1" applyAlignment="1">
      <alignment vertical="top"/>
    </xf>
    <xf numFmtId="167" fontId="99" fillId="0" borderId="0" xfId="0" applyFont="1" applyAlignment="1">
      <alignment vertical="top"/>
    </xf>
    <xf numFmtId="167" fontId="97" fillId="0" borderId="0" xfId="0" applyFont="1" applyAlignment="1">
      <alignment vertical="top"/>
    </xf>
    <xf numFmtId="178" fontId="0" fillId="0" borderId="0" xfId="0" applyNumberFormat="1" applyAlignment="1">
      <alignment vertical="top"/>
    </xf>
    <xf numFmtId="178" fontId="0" fillId="0" borderId="0" xfId="45" applyNumberFormat="1">
      <alignment vertical="top"/>
    </xf>
    <xf numFmtId="173" fontId="0" fillId="45" borderId="0" xfId="0" applyNumberFormat="1" applyFont="1" applyFill="1" applyAlignment="1">
      <alignment vertical="top"/>
    </xf>
    <xf numFmtId="178" fontId="93" fillId="0" borderId="0" xfId="45" applyNumberFormat="1" applyFont="1">
      <alignment vertical="top"/>
    </xf>
    <xf numFmtId="178" fontId="97" fillId="0" borderId="0" xfId="45" applyNumberFormat="1" applyFont="1">
      <alignment vertical="top"/>
    </xf>
    <xf numFmtId="167" fontId="100" fillId="0" borderId="0" xfId="0" applyFont="1" applyAlignment="1">
      <alignment vertical="top"/>
    </xf>
    <xf numFmtId="167" fontId="101" fillId="0" borderId="0" xfId="0" applyFont="1" applyAlignment="1">
      <alignment vertical="top"/>
    </xf>
    <xf numFmtId="167" fontId="102" fillId="0" borderId="0" xfId="0" applyFont="1" applyAlignment="1">
      <alignment vertical="top"/>
    </xf>
    <xf numFmtId="175" fontId="93" fillId="0" borderId="0" xfId="75" applyFont="1">
      <alignment vertical="top"/>
    </xf>
    <xf numFmtId="175" fontId="5" fillId="0" borderId="0" xfId="75" applyFont="1">
      <alignment vertical="top"/>
    </xf>
    <xf numFmtId="175" fontId="6" fillId="0" borderId="0" xfId="75" applyFont="1">
      <alignment vertical="top"/>
    </xf>
    <xf numFmtId="178" fontId="93" fillId="0" borderId="0" xfId="0" applyNumberFormat="1" applyFont="1" applyAlignment="1">
      <alignment vertical="top"/>
    </xf>
    <xf numFmtId="169" fontId="103" fillId="0" borderId="0" xfId="69" applyFont="1">
      <alignment vertical="top"/>
    </xf>
    <xf numFmtId="169" fontId="104" fillId="0" borderId="0" xfId="69" applyFont="1">
      <alignment vertical="top"/>
    </xf>
    <xf numFmtId="167" fontId="0" fillId="0" borderId="31" xfId="0" applyFont="1" applyBorder="1" applyAlignment="1">
      <alignment horizontal="center" vertical="top" wrapText="1"/>
    </xf>
    <xf numFmtId="167" fontId="0" fillId="0" borderId="37" xfId="0" applyFont="1" applyBorder="1" applyAlignment="1">
      <alignment horizontal="center" vertical="top" wrapText="1"/>
    </xf>
    <xf numFmtId="167" fontId="40" fillId="34" borderId="39" xfId="0" applyFont="1" applyFill="1" applyBorder="1" applyAlignment="1">
      <alignment horizontal="center" vertical="center"/>
    </xf>
    <xf numFmtId="169" fontId="93" fillId="0" borderId="0" xfId="0" applyNumberFormat="1" applyFont="1" applyAlignment="1">
      <alignment vertical="top"/>
    </xf>
    <xf numFmtId="179" fontId="102" fillId="0" borderId="0" xfId="0" applyNumberFormat="1" applyFont="1" applyAlignment="1">
      <alignment vertical="top"/>
    </xf>
    <xf numFmtId="167" fontId="97" fillId="46" borderId="0" xfId="0" applyFont="1" applyFill="1" applyAlignment="1">
      <alignment vertical="top"/>
    </xf>
    <xf numFmtId="178" fontId="97" fillId="46" borderId="0" xfId="45" applyNumberFormat="1" applyFont="1" applyFill="1">
      <alignment vertical="top"/>
    </xf>
    <xf numFmtId="168" fontId="100" fillId="0" borderId="0" xfId="45" applyFont="1">
      <alignment vertical="top"/>
    </xf>
    <xf numFmtId="168" fontId="101" fillId="0" borderId="0" xfId="45" applyFont="1">
      <alignment vertical="top"/>
    </xf>
    <xf numFmtId="168" fontId="102" fillId="0" borderId="0" xfId="45" applyFont="1">
      <alignment vertical="top"/>
    </xf>
    <xf numFmtId="168" fontId="102" fillId="0" borderId="0" xfId="45" applyFont="1">
      <alignment vertical="top"/>
    </xf>
    <xf numFmtId="168" fontId="5" fillId="0" borderId="0" xfId="45" applyFont="1">
      <alignment vertical="top"/>
    </xf>
    <xf numFmtId="168" fontId="6" fillId="0" borderId="0" xfId="45" applyFont="1">
      <alignment vertical="top"/>
    </xf>
    <xf numFmtId="168" fontId="0" fillId="0" borderId="0" xfId="45">
      <alignment vertical="top"/>
    </xf>
    <xf numFmtId="168" fontId="93" fillId="0" borderId="0" xfId="45" applyFont="1">
      <alignment vertical="top"/>
    </xf>
    <xf numFmtId="169" fontId="97" fillId="0" borderId="0" xfId="0" applyNumberFormat="1" applyFont="1" applyAlignment="1">
      <alignment vertical="top"/>
    </xf>
    <xf numFmtId="169" fontId="0" fillId="0" borderId="0" xfId="69" applyFont="1">
      <alignment vertical="top"/>
    </xf>
    <xf numFmtId="178" fontId="102" fillId="0" borderId="0" xfId="45" applyNumberFormat="1" applyFont="1">
      <alignment vertical="top"/>
    </xf>
    <xf numFmtId="178" fontId="102" fillId="0" borderId="40" xfId="45" applyNumberFormat="1" applyFont="1" applyBorder="1">
      <alignment vertical="top"/>
    </xf>
    <xf numFmtId="178" fontId="93" fillId="0" borderId="40" xfId="0" applyNumberFormat="1" applyFont="1" applyBorder="1" applyAlignment="1">
      <alignment vertical="top"/>
    </xf>
    <xf numFmtId="167" fontId="97" fillId="41" borderId="0" xfId="0" applyFont="1" applyFill="1" applyAlignment="1">
      <alignment vertical="top"/>
    </xf>
    <xf numFmtId="174" fontId="97" fillId="0" borderId="0" xfId="45" applyNumberFormat="1" applyFont="1">
      <alignment vertical="top"/>
    </xf>
    <xf numFmtId="174" fontId="97" fillId="41" borderId="0" xfId="45" applyNumberFormat="1" applyFont="1" applyFill="1">
      <alignment vertical="top"/>
    </xf>
    <xf numFmtId="177" fontId="97" fillId="0" borderId="0" xfId="43" applyFont="1">
      <alignment vertical="top"/>
    </xf>
    <xf numFmtId="177" fontId="98" fillId="0" borderId="0" xfId="43" applyFont="1">
      <alignment vertical="top"/>
    </xf>
    <xf numFmtId="173" fontId="97" fillId="0" borderId="0" xfId="0" applyNumberFormat="1" applyFont="1" applyAlignment="1">
      <alignment vertical="top"/>
    </xf>
    <xf numFmtId="178" fontId="102" fillId="0" borderId="0" xfId="45" applyNumberFormat="1" applyFont="1">
      <alignment vertical="top"/>
    </xf>
    <xf numFmtId="167" fontId="105" fillId="47" borderId="0" xfId="0" applyFont="1" applyFill="1" applyAlignment="1">
      <alignment vertical="top"/>
    </xf>
    <xf numFmtId="167" fontId="106" fillId="47" borderId="0" xfId="0" applyFont="1" applyFill="1" applyAlignment="1">
      <alignment vertical="top"/>
    </xf>
    <xf numFmtId="167" fontId="107" fillId="0" borderId="0" xfId="0" applyFont="1" applyAlignment="1">
      <alignment vertical="top"/>
    </xf>
    <xf numFmtId="167" fontId="108" fillId="47" borderId="41" xfId="0" applyFont="1" applyFill="1" applyBorder="1" applyAlignment="1">
      <alignment vertical="top"/>
    </xf>
    <xf numFmtId="167" fontId="106" fillId="47" borderId="41" xfId="0" applyFont="1" applyFill="1" applyBorder="1" applyAlignment="1">
      <alignment vertical="top"/>
    </xf>
    <xf numFmtId="167" fontId="108" fillId="0" borderId="41" xfId="0" applyFont="1" applyBorder="1" applyAlignment="1">
      <alignment vertical="top"/>
    </xf>
    <xf numFmtId="167" fontId="108" fillId="0" borderId="0" xfId="0" applyFont="1" applyAlignment="1">
      <alignment vertical="top"/>
    </xf>
    <xf numFmtId="167" fontId="109" fillId="47" borderId="0" xfId="0" applyFont="1" applyFill="1" applyAlignment="1">
      <alignment vertical="top"/>
    </xf>
    <xf numFmtId="167" fontId="108" fillId="47" borderId="0" xfId="0" applyFont="1" applyFill="1" applyAlignment="1">
      <alignment vertical="top"/>
    </xf>
    <xf numFmtId="167" fontId="109" fillId="0" borderId="0" xfId="0" applyFont="1" applyAlignment="1">
      <alignment vertical="top"/>
    </xf>
    <xf numFmtId="167" fontId="108" fillId="47" borderId="42" xfId="0" applyFont="1" applyFill="1" applyBorder="1" applyAlignment="1">
      <alignment vertical="top"/>
    </xf>
    <xf numFmtId="167" fontId="106" fillId="47" borderId="42" xfId="0" applyFont="1" applyFill="1" applyBorder="1" applyAlignment="1">
      <alignment vertical="top"/>
    </xf>
    <xf numFmtId="167" fontId="110" fillId="0" borderId="0" xfId="0" applyFont="1" applyAlignment="1">
      <alignment vertical="top"/>
    </xf>
    <xf numFmtId="167" fontId="111" fillId="0" borderId="0" xfId="0" applyFont="1" applyAlignment="1">
      <alignment vertical="top"/>
    </xf>
    <xf numFmtId="167" fontId="112" fillId="0" borderId="0" xfId="0" applyFont="1" applyAlignment="1">
      <alignment vertical="top"/>
    </xf>
    <xf numFmtId="167" fontId="113" fillId="0" borderId="0" xfId="0" applyFont="1" applyAlignment="1">
      <alignment vertical="top"/>
    </xf>
    <xf numFmtId="167" fontId="114" fillId="0" borderId="0" xfId="52" applyNumberFormat="1" applyFont="1" applyAlignment="1">
      <alignment vertical="top"/>
    </xf>
    <xf numFmtId="167" fontId="115" fillId="48" borderId="0" xfId="0" applyFont="1" applyFill="1" applyAlignment="1">
      <alignment vertical="top"/>
    </xf>
    <xf numFmtId="167" fontId="87" fillId="48" borderId="0" xfId="0" applyFont="1" applyFill="1" applyAlignment="1">
      <alignment vertical="top"/>
    </xf>
    <xf numFmtId="167" fontId="116" fillId="48" borderId="0" xfId="0" applyFont="1" applyFill="1" applyAlignment="1">
      <alignment vertical="top"/>
    </xf>
    <xf numFmtId="167" fontId="87" fillId="0" borderId="0" xfId="0" applyFont="1" applyAlignment="1">
      <alignment vertical="top"/>
    </xf>
    <xf numFmtId="167" fontId="117" fillId="0" borderId="0" xfId="0" applyFont="1" applyAlignment="1">
      <alignment vertical="top"/>
    </xf>
    <xf numFmtId="167" fontId="118" fillId="0" borderId="0" xfId="0" applyFont="1" applyAlignment="1">
      <alignment vertical="top"/>
    </xf>
    <xf numFmtId="0" fontId="59" fillId="49" borderId="43" xfId="64" applyFont="1" applyFill="1" applyBorder="1" applyAlignment="1">
      <alignment horizontal="left" vertical="center"/>
      <protection/>
    </xf>
    <xf numFmtId="0" fontId="87" fillId="0" borderId="0" xfId="57" applyFont="1">
      <alignment/>
      <protection/>
    </xf>
    <xf numFmtId="0" fontId="87" fillId="0" borderId="0" xfId="57" applyFont="1" applyAlignment="1">
      <alignment horizontal="left" vertical="top"/>
      <protection/>
    </xf>
    <xf numFmtId="0" fontId="87" fillId="0" borderId="0" xfId="57">
      <alignment/>
      <protection/>
    </xf>
    <xf numFmtId="0" fontId="119" fillId="0" borderId="44" xfId="57" applyFont="1" applyBorder="1" applyAlignment="1">
      <alignment horizontal="left" vertical="top"/>
      <protection/>
    </xf>
    <xf numFmtId="0" fontId="87" fillId="0" borderId="45" xfId="57" applyFont="1" applyBorder="1" applyAlignment="1">
      <alignment horizontal="left" vertical="top"/>
      <protection/>
    </xf>
    <xf numFmtId="0" fontId="87" fillId="0" borderId="43" xfId="57" applyFont="1" applyBorder="1" applyAlignment="1">
      <alignment horizontal="left" vertical="top" wrapText="1"/>
      <protection/>
    </xf>
    <xf numFmtId="0" fontId="87" fillId="0" borderId="46" xfId="57" applyFont="1" applyBorder="1" applyAlignment="1">
      <alignment horizontal="left" vertical="top"/>
      <protection/>
    </xf>
    <xf numFmtId="0" fontId="87" fillId="0" borderId="47" xfId="57" applyFont="1" applyBorder="1" applyAlignment="1">
      <alignment horizontal="left" vertical="top"/>
      <protection/>
    </xf>
    <xf numFmtId="0" fontId="87" fillId="0" borderId="44" xfId="57" applyFont="1" applyBorder="1" applyAlignment="1">
      <alignment horizontal="left" vertical="top" wrapText="1"/>
      <protection/>
    </xf>
    <xf numFmtId="0" fontId="87" fillId="0" borderId="48" xfId="57" applyFont="1" applyBorder="1" applyAlignment="1">
      <alignment horizontal="left" vertical="top"/>
      <protection/>
    </xf>
    <xf numFmtId="0" fontId="87" fillId="0" borderId="48" xfId="57" applyFont="1" applyBorder="1" applyAlignment="1">
      <alignment horizontal="left" vertical="top" wrapText="1"/>
      <protection/>
    </xf>
    <xf numFmtId="0" fontId="87" fillId="0" borderId="0" xfId="57" applyAlignment="1">
      <alignment horizontal="left" vertical="top"/>
      <protection/>
    </xf>
    <xf numFmtId="175" fontId="93" fillId="0" borderId="0" xfId="45" applyNumberFormat="1" applyFont="1">
      <alignment vertical="top"/>
    </xf>
    <xf numFmtId="167" fontId="0" fillId="46" borderId="0" xfId="0" applyFill="1" applyAlignment="1">
      <alignment vertical="top"/>
    </xf>
    <xf numFmtId="167" fontId="0" fillId="46" borderId="0" xfId="0" applyFont="1" applyFill="1" applyAlignment="1">
      <alignment vertical="top"/>
    </xf>
    <xf numFmtId="178" fontId="0" fillId="46" borderId="0" xfId="45" applyNumberFormat="1" applyFont="1" applyFill="1">
      <alignment vertical="top"/>
    </xf>
    <xf numFmtId="178" fontId="102" fillId="46" borderId="0" xfId="45" applyNumberFormat="1" applyFont="1" applyFill="1">
      <alignment vertical="top"/>
    </xf>
    <xf numFmtId="178" fontId="0" fillId="46" borderId="0" xfId="0" applyNumberFormat="1" applyFill="1" applyAlignment="1">
      <alignment vertical="top"/>
    </xf>
    <xf numFmtId="169" fontId="0" fillId="0" borderId="0" xfId="0" applyNumberFormat="1" applyFont="1" applyAlignment="1">
      <alignment vertical="top"/>
    </xf>
    <xf numFmtId="178" fontId="0" fillId="0" borderId="40" xfId="45" applyNumberFormat="1" applyBorder="1">
      <alignment vertical="top"/>
    </xf>
    <xf numFmtId="167" fontId="5" fillId="0" borderId="44" xfId="0" applyFont="1" applyBorder="1" applyAlignment="1">
      <alignment vertical="top"/>
    </xf>
    <xf numFmtId="167" fontId="6" fillId="0" borderId="44" xfId="0" applyFont="1" applyBorder="1" applyAlignment="1">
      <alignment vertical="top"/>
    </xf>
    <xf numFmtId="167" fontId="0" fillId="0" borderId="44" xfId="0" applyFont="1" applyBorder="1" applyAlignment="1">
      <alignment vertical="top"/>
    </xf>
    <xf numFmtId="178" fontId="0" fillId="0" borderId="49" xfId="45" applyNumberFormat="1" applyBorder="1">
      <alignment vertical="top"/>
    </xf>
    <xf numFmtId="167" fontId="0" fillId="0" borderId="44" xfId="0" applyBorder="1" applyAlignment="1">
      <alignment vertical="top"/>
    </xf>
    <xf numFmtId="169" fontId="0" fillId="42" borderId="10" xfId="69" applyFill="1" applyBorder="1">
      <alignment vertical="top"/>
    </xf>
    <xf numFmtId="173" fontId="0" fillId="42" borderId="10" xfId="0" applyNumberFormat="1" applyFont="1" applyFill="1" applyBorder="1" applyAlignment="1">
      <alignment vertical="top"/>
    </xf>
    <xf numFmtId="167" fontId="0" fillId="42" borderId="10" xfId="0" applyFont="1" applyFill="1" applyBorder="1" applyAlignment="1">
      <alignment vertical="top"/>
    </xf>
    <xf numFmtId="170" fontId="0" fillId="0" borderId="0" xfId="0" applyNumberFormat="1" applyFont="1" applyAlignment="1">
      <alignment horizontal="right"/>
    </xf>
    <xf numFmtId="169" fontId="0" fillId="41" borderId="10" xfId="69" applyFill="1" applyBorder="1">
      <alignment vertical="top"/>
    </xf>
    <xf numFmtId="167" fontId="0" fillId="44" borderId="0" xfId="0" applyFont="1" applyFill="1" applyAlignment="1">
      <alignment horizontal="right" vertical="top"/>
    </xf>
    <xf numFmtId="0" fontId="87" fillId="46" borderId="47" xfId="57" applyFont="1" applyFill="1" applyBorder="1" applyAlignment="1">
      <alignment horizontal="left" vertical="top"/>
      <protection/>
    </xf>
    <xf numFmtId="0" fontId="87" fillId="46" borderId="44" xfId="57" applyFont="1" applyFill="1" applyBorder="1" applyAlignment="1">
      <alignment horizontal="left" vertical="top" wrapText="1"/>
      <protection/>
    </xf>
    <xf numFmtId="0" fontId="87" fillId="46" borderId="48" xfId="57" applyFont="1" applyFill="1" applyBorder="1" applyAlignment="1">
      <alignment horizontal="left" vertical="top" wrapText="1"/>
      <protection/>
    </xf>
    <xf numFmtId="178" fontId="102" fillId="46" borderId="0" xfId="45" applyNumberFormat="1" applyFont="1" applyFill="1">
      <alignment vertical="top"/>
    </xf>
    <xf numFmtId="170" fontId="0" fillId="46" borderId="0" xfId="0" applyNumberFormat="1" applyFill="1" applyAlignment="1">
      <alignment vertical="top"/>
    </xf>
    <xf numFmtId="168" fontId="100" fillId="46" borderId="0" xfId="45" applyFont="1" applyFill="1">
      <alignment vertical="top"/>
    </xf>
    <xf numFmtId="168" fontId="101" fillId="46" borderId="0" xfId="45" applyFont="1" applyFill="1">
      <alignment vertical="top"/>
    </xf>
    <xf numFmtId="168" fontId="102" fillId="46" borderId="0" xfId="45" applyFont="1" applyFill="1">
      <alignment vertical="top"/>
    </xf>
    <xf numFmtId="168" fontId="102" fillId="46" borderId="0" xfId="45" applyFont="1" applyFill="1">
      <alignment vertical="top"/>
    </xf>
    <xf numFmtId="167" fontId="5" fillId="46" borderId="0" xfId="0" applyFont="1" applyFill="1" applyAlignment="1">
      <alignment vertical="top"/>
    </xf>
    <xf numFmtId="167" fontId="6" fillId="46" borderId="0" xfId="0" applyFont="1" applyFill="1" applyAlignment="1">
      <alignment vertical="top"/>
    </xf>
    <xf numFmtId="175" fontId="93" fillId="46" borderId="0" xfId="45" applyNumberFormat="1" applyFont="1" applyFill="1">
      <alignment vertical="top"/>
    </xf>
    <xf numFmtId="175" fontId="0" fillId="46" borderId="0" xfId="75" applyFont="1" applyFill="1">
      <alignment vertical="top"/>
    </xf>
    <xf numFmtId="167" fontId="100" fillId="46" borderId="0" xfId="0" applyFont="1" applyFill="1" applyAlignment="1">
      <alignment vertical="top"/>
    </xf>
    <xf numFmtId="167" fontId="102" fillId="46" borderId="0" xfId="0" applyFont="1" applyFill="1" applyAlignment="1">
      <alignment vertical="top"/>
    </xf>
    <xf numFmtId="167" fontId="101" fillId="46" borderId="0" xfId="0" applyFont="1" applyFill="1" applyAlignment="1">
      <alignment vertical="top"/>
    </xf>
    <xf numFmtId="178" fontId="93" fillId="46" borderId="0" xfId="45" applyNumberFormat="1" applyFont="1" applyFill="1">
      <alignment vertical="top"/>
    </xf>
    <xf numFmtId="168" fontId="5" fillId="46" borderId="0" xfId="45" applyFont="1" applyFill="1">
      <alignment vertical="top"/>
    </xf>
    <xf numFmtId="168" fontId="6" fillId="46" borderId="0" xfId="45" applyFont="1" applyFill="1">
      <alignment vertical="top"/>
    </xf>
    <xf numFmtId="168" fontId="0" fillId="46" borderId="0" xfId="45" applyFill="1">
      <alignment vertical="top"/>
    </xf>
    <xf numFmtId="168" fontId="93" fillId="46" borderId="0" xfId="45" applyFont="1" applyFill="1">
      <alignment vertical="top"/>
    </xf>
    <xf numFmtId="179" fontId="0" fillId="0" borderId="0" xfId="0" applyNumberFormat="1" applyFont="1" applyAlignment="1">
      <alignment vertical="top"/>
    </xf>
    <xf numFmtId="167" fontId="99" fillId="46" borderId="0" xfId="0" applyFont="1" applyFill="1" applyAlignment="1">
      <alignment vertical="top"/>
    </xf>
    <xf numFmtId="169" fontId="93" fillId="46" borderId="0" xfId="0" applyNumberFormat="1" applyFont="1" applyFill="1" applyAlignment="1">
      <alignment vertical="top"/>
    </xf>
    <xf numFmtId="179" fontId="102" fillId="46" borderId="0" xfId="0" applyNumberFormat="1" applyFont="1" applyFill="1" applyAlignment="1">
      <alignment vertical="top"/>
    </xf>
    <xf numFmtId="0" fontId="0" fillId="0" borderId="44" xfId="57" applyFont="1" applyBorder="1" applyAlignment="1">
      <alignment horizontal="left" vertical="top" wrapText="1"/>
      <protection/>
    </xf>
    <xf numFmtId="167" fontId="120" fillId="0" borderId="0" xfId="0" applyFont="1" applyAlignment="1">
      <alignment vertical="top"/>
    </xf>
    <xf numFmtId="167" fontId="120" fillId="41" borderId="0" xfId="0" applyFont="1" applyFill="1" applyAlignment="1">
      <alignment vertical="top"/>
    </xf>
    <xf numFmtId="0" fontId="120" fillId="0" borderId="0" xfId="57" applyFont="1" applyAlignment="1">
      <alignment horizontal="left" vertical="top"/>
      <protection/>
    </xf>
    <xf numFmtId="17" fontId="87" fillId="0" borderId="0" xfId="57" applyNumberFormat="1" applyFont="1" applyAlignment="1">
      <alignment vertical="top"/>
      <protection/>
    </xf>
    <xf numFmtId="179" fontId="93" fillId="0" borderId="0" xfId="0" applyNumberFormat="1" applyFont="1" applyAlignment="1">
      <alignment vertical="top"/>
    </xf>
    <xf numFmtId="179" fontId="93" fillId="0" borderId="40" xfId="0" applyNumberFormat="1" applyFont="1" applyBorder="1" applyAlignment="1">
      <alignment vertical="top"/>
    </xf>
    <xf numFmtId="179" fontId="0" fillId="0" borderId="0" xfId="0" applyNumberFormat="1" applyAlignment="1">
      <alignment vertical="top"/>
    </xf>
    <xf numFmtId="0" fontId="87" fillId="10" borderId="47" xfId="57" applyFont="1" applyFill="1" applyBorder="1" applyAlignment="1">
      <alignment horizontal="left" vertical="top"/>
      <protection/>
    </xf>
    <xf numFmtId="0" fontId="87" fillId="10" borderId="44" xfId="57" applyFont="1" applyFill="1" applyBorder="1" applyAlignment="1">
      <alignment horizontal="left" vertical="top" wrapText="1"/>
      <protection/>
    </xf>
    <xf numFmtId="0" fontId="87" fillId="10" borderId="48" xfId="57" applyFont="1" applyFill="1" applyBorder="1" applyAlignment="1">
      <alignment horizontal="left" vertical="top" wrapText="1"/>
      <protection/>
    </xf>
    <xf numFmtId="178" fontId="97" fillId="10" borderId="0" xfId="45" applyNumberFormat="1" applyFont="1" applyFill="1">
      <alignment vertical="top"/>
    </xf>
    <xf numFmtId="178" fontId="102" fillId="10" borderId="0" xfId="45" applyNumberFormat="1" applyFont="1" applyFill="1">
      <alignment vertical="top"/>
    </xf>
    <xf numFmtId="167" fontId="6" fillId="10" borderId="0" xfId="0" applyFont="1" applyFill="1" applyAlignment="1">
      <alignment vertical="top"/>
    </xf>
    <xf numFmtId="167" fontId="0" fillId="10" borderId="0" xfId="0" applyFont="1" applyFill="1" applyAlignment="1">
      <alignment vertical="top"/>
    </xf>
    <xf numFmtId="178" fontId="0" fillId="10" borderId="0" xfId="45" applyNumberFormat="1" applyFont="1" applyFill="1">
      <alignment vertical="top"/>
    </xf>
    <xf numFmtId="167" fontId="0" fillId="10" borderId="0" xfId="0" applyFill="1" applyAlignment="1">
      <alignment vertical="top"/>
    </xf>
    <xf numFmtId="168" fontId="6" fillId="10" borderId="0" xfId="45" applyFont="1" applyFill="1">
      <alignment vertical="top"/>
    </xf>
    <xf numFmtId="168" fontId="0" fillId="10" borderId="0" xfId="45" applyFill="1">
      <alignment vertical="top"/>
    </xf>
    <xf numFmtId="168" fontId="93" fillId="10" borderId="0" xfId="45" applyFont="1" applyFill="1">
      <alignment vertical="top"/>
    </xf>
    <xf numFmtId="167" fontId="101" fillId="10" borderId="0" xfId="0" applyFont="1" applyFill="1" applyAlignment="1">
      <alignment vertical="top"/>
    </xf>
    <xf numFmtId="167" fontId="102" fillId="10" borderId="0" xfId="0" applyFont="1" applyFill="1" applyAlignment="1">
      <alignment vertical="top"/>
    </xf>
    <xf numFmtId="167" fontId="5" fillId="10" borderId="0" xfId="0" applyFont="1" applyFill="1" applyAlignment="1">
      <alignment vertical="top"/>
    </xf>
    <xf numFmtId="168" fontId="5" fillId="10" borderId="0" xfId="45" applyFont="1" applyFill="1">
      <alignment vertical="top"/>
    </xf>
    <xf numFmtId="167" fontId="100" fillId="10" borderId="0" xfId="0" applyFont="1" applyFill="1" applyAlignment="1">
      <alignment vertical="top"/>
    </xf>
    <xf numFmtId="180" fontId="108" fillId="47" borderId="0" xfId="0" applyNumberFormat="1" applyFont="1" applyFill="1" applyAlignment="1">
      <alignment horizontal="left" vertical="top"/>
    </xf>
    <xf numFmtId="178" fontId="93" fillId="46" borderId="0" xfId="0" applyNumberFormat="1" applyFont="1" applyFill="1" applyAlignment="1">
      <alignment vertical="top"/>
    </xf>
    <xf numFmtId="178" fontId="93" fillId="10" borderId="0" xfId="0" applyNumberFormat="1" applyFont="1" applyFill="1" applyAlignment="1">
      <alignment vertical="top"/>
    </xf>
    <xf numFmtId="17" fontId="87" fillId="0" borderId="0" xfId="57" applyNumberFormat="1" applyFont="1">
      <alignment/>
      <protection/>
    </xf>
    <xf numFmtId="0" fontId="87" fillId="6" borderId="47" xfId="57" applyFont="1" applyFill="1" applyBorder="1" applyAlignment="1">
      <alignment horizontal="left" vertical="top"/>
      <protection/>
    </xf>
    <xf numFmtId="0" fontId="87" fillId="6" borderId="44" xfId="57" applyFont="1" applyFill="1" applyBorder="1" applyAlignment="1">
      <alignment horizontal="left" vertical="top" wrapText="1"/>
      <protection/>
    </xf>
    <xf numFmtId="0" fontId="87" fillId="6" borderId="48" xfId="57" applyFont="1" applyFill="1" applyBorder="1" applyAlignment="1">
      <alignment horizontal="left" vertical="top"/>
      <protection/>
    </xf>
    <xf numFmtId="178" fontId="97" fillId="6" borderId="0" xfId="45" applyNumberFormat="1" applyFont="1" applyFill="1">
      <alignment vertical="top"/>
    </xf>
    <xf numFmtId="167" fontId="0" fillId="6" borderId="0" xfId="0" applyFill="1" applyAlignment="1">
      <alignment vertical="top"/>
    </xf>
    <xf numFmtId="178" fontId="93" fillId="6" borderId="0" xfId="0" applyNumberFormat="1" applyFont="1" applyFill="1" applyAlignment="1">
      <alignment vertical="top"/>
    </xf>
    <xf numFmtId="178" fontId="93" fillId="6" borderId="0" xfId="45" applyNumberFormat="1" applyFont="1" applyFill="1">
      <alignment vertical="top"/>
    </xf>
    <xf numFmtId="178" fontId="0" fillId="6" borderId="0" xfId="45" applyNumberFormat="1" applyFill="1">
      <alignment vertical="top"/>
    </xf>
    <xf numFmtId="178" fontId="102" fillId="6" borderId="0" xfId="45" applyNumberFormat="1" applyFont="1" applyFill="1">
      <alignment vertical="top"/>
    </xf>
    <xf numFmtId="178" fontId="0" fillId="6" borderId="0" xfId="45" applyNumberFormat="1" applyFont="1" applyFill="1">
      <alignment vertical="top"/>
    </xf>
    <xf numFmtId="178" fontId="0" fillId="6" borderId="0" xfId="0" applyNumberFormat="1" applyFont="1" applyFill="1" applyAlignment="1">
      <alignment vertical="top"/>
    </xf>
    <xf numFmtId="0" fontId="87" fillId="50" borderId="47" xfId="57" applyFont="1" applyFill="1" applyBorder="1" applyAlignment="1">
      <alignment horizontal="left" vertical="top"/>
      <protection/>
    </xf>
    <xf numFmtId="0" fontId="87" fillId="50" borderId="44" xfId="57" applyFont="1" applyFill="1" applyBorder="1" applyAlignment="1">
      <alignment horizontal="left" vertical="top" wrapText="1"/>
      <protection/>
    </xf>
    <xf numFmtId="0" fontId="87" fillId="50" borderId="48" xfId="57" applyFont="1" applyFill="1" applyBorder="1" applyAlignment="1">
      <alignment horizontal="left" vertical="top"/>
      <protection/>
    </xf>
    <xf numFmtId="178" fontId="97" fillId="50" borderId="0" xfId="45" applyNumberFormat="1" applyFont="1" applyFill="1">
      <alignment vertical="top"/>
    </xf>
    <xf numFmtId="167" fontId="0" fillId="50" borderId="0" xfId="0" applyFill="1" applyAlignment="1">
      <alignment vertical="top"/>
    </xf>
    <xf numFmtId="178" fontId="93" fillId="50" borderId="0" xfId="0" applyNumberFormat="1" applyFont="1" applyFill="1" applyAlignment="1">
      <alignment vertical="top"/>
    </xf>
    <xf numFmtId="178" fontId="93" fillId="50" borderId="40" xfId="0" applyNumberFormat="1" applyFont="1" applyFill="1" applyBorder="1" applyAlignment="1">
      <alignment vertical="top"/>
    </xf>
    <xf numFmtId="178" fontId="93" fillId="50" borderId="0" xfId="45" applyNumberFormat="1" applyFont="1" applyFill="1">
      <alignment vertical="top"/>
    </xf>
    <xf numFmtId="168" fontId="93" fillId="50" borderId="0" xfId="45" applyFont="1" applyFill="1">
      <alignment vertical="top"/>
    </xf>
    <xf numFmtId="178" fontId="0" fillId="50" borderId="0" xfId="45" applyNumberFormat="1" applyFill="1">
      <alignment vertical="top"/>
    </xf>
    <xf numFmtId="178" fontId="0" fillId="50" borderId="0" xfId="0" applyNumberFormat="1" applyFont="1" applyFill="1" applyAlignment="1">
      <alignment vertical="top"/>
    </xf>
    <xf numFmtId="178" fontId="0" fillId="50" borderId="49" xfId="45" applyNumberFormat="1" applyFill="1" applyBorder="1">
      <alignment vertical="top"/>
    </xf>
    <xf numFmtId="178" fontId="102" fillId="50" borderId="0" xfId="45" applyNumberFormat="1" applyFont="1" applyFill="1">
      <alignment vertical="top"/>
    </xf>
    <xf numFmtId="178" fontId="102" fillId="50" borderId="40" xfId="45" applyNumberFormat="1" applyFont="1" applyFill="1" applyBorder="1">
      <alignment vertical="top"/>
    </xf>
    <xf numFmtId="167" fontId="0" fillId="0" borderId="0" xfId="66" applyAlignment="1">
      <alignment/>
    </xf>
    <xf numFmtId="167" fontId="0" fillId="0" borderId="0" xfId="66">
      <alignment vertical="top"/>
    </xf>
    <xf numFmtId="22" fontId="72" fillId="0" borderId="0" xfId="56" applyNumberFormat="1">
      <alignment/>
      <protection/>
    </xf>
    <xf numFmtId="167" fontId="0" fillId="0" borderId="0" xfId="66" applyFont="1">
      <alignment vertical="top"/>
    </xf>
    <xf numFmtId="181" fontId="0" fillId="0" borderId="0" xfId="66" applyNumberFormat="1">
      <alignment vertical="top"/>
    </xf>
    <xf numFmtId="178" fontId="93" fillId="0" borderId="0" xfId="45" applyNumberFormat="1" applyFont="1" applyFill="1">
      <alignment vertical="top"/>
    </xf>
    <xf numFmtId="178" fontId="93" fillId="0" borderId="0" xfId="0" applyNumberFormat="1" applyFont="1" applyFill="1" applyAlignment="1">
      <alignment vertical="top"/>
    </xf>
    <xf numFmtId="178" fontId="5" fillId="0" borderId="0" xfId="0" applyNumberFormat="1" applyFont="1" applyFill="1" applyAlignment="1">
      <alignment vertical="top"/>
    </xf>
    <xf numFmtId="167" fontId="5" fillId="0" borderId="0" xfId="0" applyFont="1" applyFill="1" applyAlignment="1">
      <alignment vertical="top"/>
    </xf>
    <xf numFmtId="167" fontId="0" fillId="0" borderId="0" xfId="0" applyFont="1" applyFill="1" applyAlignment="1">
      <alignment vertical="top"/>
    </xf>
    <xf numFmtId="176" fontId="0" fillId="0" borderId="0" xfId="42" applyFont="1">
      <alignment vertical="top"/>
    </xf>
    <xf numFmtId="181" fontId="0" fillId="0" borderId="0" xfId="66" applyNumberFormat="1" applyFont="1">
      <alignment vertical="top"/>
    </xf>
    <xf numFmtId="3" fontId="0" fillId="0" borderId="0" xfId="66" applyNumberFormat="1" applyFont="1">
      <alignment vertical="top"/>
    </xf>
    <xf numFmtId="178" fontId="0" fillId="0" borderId="0" xfId="45" applyNumberFormat="1" applyFont="1">
      <alignment vertical="top"/>
    </xf>
    <xf numFmtId="175" fontId="0" fillId="0" borderId="0" xfId="76" applyFont="1">
      <alignment vertical="top"/>
    </xf>
    <xf numFmtId="167" fontId="0" fillId="0" borderId="0" xfId="66" applyFill="1">
      <alignment vertical="top"/>
    </xf>
    <xf numFmtId="167" fontId="102" fillId="0" borderId="0" xfId="0" applyFont="1" applyFill="1" applyAlignment="1">
      <alignment vertical="top"/>
    </xf>
    <xf numFmtId="10" fontId="0" fillId="0" borderId="0" xfId="66" applyNumberFormat="1" applyFont="1">
      <alignment vertical="top"/>
    </xf>
    <xf numFmtId="10" fontId="0" fillId="0" borderId="0" xfId="69" applyNumberFormat="1" applyFont="1">
      <alignment vertical="top"/>
    </xf>
    <xf numFmtId="179" fontId="93" fillId="0" borderId="0" xfId="0" applyNumberFormat="1" applyFont="1" applyFill="1" applyAlignment="1">
      <alignment vertical="top"/>
    </xf>
    <xf numFmtId="181" fontId="0" fillId="0" borderId="0" xfId="66" applyNumberFormat="1" applyFill="1">
      <alignment vertical="top"/>
    </xf>
    <xf numFmtId="0" fontId="121" fillId="51" borderId="0" xfId="62" applyFont="1" applyFill="1" applyBorder="1" applyAlignment="1">
      <alignment vertical="center"/>
      <protection/>
    </xf>
    <xf numFmtId="0" fontId="121" fillId="51" borderId="0" xfId="60" applyFont="1" applyFill="1" applyAlignment="1">
      <alignment horizontal="right" vertical="center"/>
      <protection/>
    </xf>
    <xf numFmtId="0" fontId="121" fillId="51" borderId="0" xfId="62" applyFont="1" applyFill="1" applyBorder="1" applyAlignment="1">
      <alignment horizontal="left" vertical="center"/>
      <protection/>
    </xf>
    <xf numFmtId="0" fontId="122" fillId="51" borderId="0" xfId="62" applyFont="1" applyFill="1" applyBorder="1" applyAlignment="1">
      <alignment horizontal="left" vertical="center"/>
      <protection/>
    </xf>
    <xf numFmtId="0" fontId="72" fillId="52" borderId="0" xfId="62" applyFill="1" applyAlignment="1" applyProtection="1">
      <alignment vertical="center"/>
      <protection/>
    </xf>
    <xf numFmtId="0" fontId="72" fillId="48" borderId="0" xfId="62" applyFill="1" applyAlignment="1" applyProtection="1">
      <alignment vertical="center"/>
      <protection/>
    </xf>
    <xf numFmtId="0" fontId="72" fillId="0" borderId="0" xfId="62" applyAlignment="1" applyProtection="1">
      <alignment vertical="center"/>
      <protection/>
    </xf>
    <xf numFmtId="167" fontId="72" fillId="52" borderId="0" xfId="58" applyFill="1">
      <alignment vertical="top"/>
    </xf>
    <xf numFmtId="0" fontId="72" fillId="52" borderId="0" xfId="62" applyFill="1" applyAlignment="1">
      <alignment vertical="center"/>
      <protection/>
    </xf>
    <xf numFmtId="0" fontId="123" fillId="48" borderId="50" xfId="62" applyFont="1" applyFill="1" applyBorder="1" applyAlignment="1">
      <alignment horizontal="center" vertical="center" wrapText="1"/>
      <protection/>
    </xf>
    <xf numFmtId="0" fontId="123" fillId="48" borderId="50" xfId="62" applyFont="1" applyFill="1" applyBorder="1" applyAlignment="1">
      <alignment horizontal="center" vertical="center"/>
      <protection/>
    </xf>
    <xf numFmtId="0" fontId="123" fillId="48" borderId="51" xfId="62" applyFont="1" applyFill="1" applyBorder="1" applyAlignment="1">
      <alignment horizontal="center" vertical="center"/>
      <protection/>
    </xf>
    <xf numFmtId="0" fontId="123" fillId="48" borderId="52" xfId="62" applyFont="1" applyFill="1" applyBorder="1" applyAlignment="1">
      <alignment horizontal="center" vertical="center"/>
      <protection/>
    </xf>
    <xf numFmtId="0" fontId="123" fillId="48" borderId="53" xfId="62" applyFont="1" applyFill="1" applyBorder="1" applyAlignment="1">
      <alignment horizontal="center" vertical="center"/>
      <protection/>
    </xf>
    <xf numFmtId="0" fontId="123" fillId="48" borderId="54" xfId="62" applyFont="1" applyFill="1" applyBorder="1" applyAlignment="1">
      <alignment horizontal="center" vertical="center" wrapText="1"/>
      <protection/>
    </xf>
    <xf numFmtId="0" fontId="123" fillId="48" borderId="51" xfId="62" applyFont="1" applyFill="1" applyBorder="1" applyAlignment="1">
      <alignment horizontal="center" vertical="center" wrapText="1"/>
      <protection/>
    </xf>
    <xf numFmtId="0" fontId="123" fillId="48" borderId="55" xfId="62" applyFont="1" applyFill="1" applyBorder="1" applyAlignment="1" applyProtection="1">
      <alignment horizontal="center" vertical="center"/>
      <protection/>
    </xf>
    <xf numFmtId="0" fontId="123" fillId="48" borderId="51" xfId="62" applyFont="1" applyFill="1" applyBorder="1" applyAlignment="1" applyProtection="1">
      <alignment horizontal="center" vertical="center"/>
      <protection/>
    </xf>
    <xf numFmtId="0" fontId="123" fillId="52" borderId="56" xfId="62" applyFont="1" applyFill="1" applyBorder="1" applyAlignment="1" applyProtection="1">
      <alignment vertical="center"/>
      <protection/>
    </xf>
    <xf numFmtId="0" fontId="123" fillId="52" borderId="0" xfId="62" applyFont="1" applyFill="1" applyBorder="1" applyAlignment="1" applyProtection="1">
      <alignment vertical="center"/>
      <protection/>
    </xf>
    <xf numFmtId="0" fontId="123" fillId="48" borderId="57" xfId="62" applyFont="1" applyFill="1" applyBorder="1" applyAlignment="1">
      <alignment horizontal="center" vertical="center"/>
      <protection/>
    </xf>
    <xf numFmtId="0" fontId="123" fillId="48" borderId="58" xfId="62" applyFont="1" applyFill="1" applyBorder="1" applyAlignment="1">
      <alignment vertical="center"/>
      <protection/>
    </xf>
    <xf numFmtId="0" fontId="124" fillId="0" borderId="0" xfId="62" applyFont="1" applyFill="1" applyAlignment="1" applyProtection="1">
      <alignment vertical="center"/>
      <protection/>
    </xf>
    <xf numFmtId="0" fontId="91" fillId="0" borderId="0" xfId="62" applyFont="1" applyFill="1" applyAlignment="1" applyProtection="1">
      <alignment horizontal="center" vertical="center"/>
      <protection/>
    </xf>
    <xf numFmtId="0" fontId="91" fillId="0" borderId="0" xfId="62" applyFont="1" applyFill="1" applyAlignment="1" applyProtection="1">
      <alignment horizontal="left" vertical="center"/>
      <protection/>
    </xf>
    <xf numFmtId="0" fontId="91" fillId="0" borderId="59" xfId="62" applyFont="1" applyBorder="1" applyAlignment="1">
      <alignment horizontal="center" vertical="center"/>
      <protection/>
    </xf>
    <xf numFmtId="0" fontId="87" fillId="0" borderId="60" xfId="62" applyFont="1" applyBorder="1" applyAlignment="1">
      <alignment vertical="center"/>
      <protection/>
    </xf>
    <xf numFmtId="0" fontId="124" fillId="0" borderId="60" xfId="62" applyFont="1" applyBorder="1" applyAlignment="1">
      <alignment horizontal="center" vertical="center"/>
      <protection/>
    </xf>
    <xf numFmtId="0" fontId="124" fillId="0" borderId="61" xfId="62" applyFont="1" applyBorder="1" applyAlignment="1">
      <alignment horizontal="center" vertical="center"/>
      <protection/>
    </xf>
    <xf numFmtId="1" fontId="91" fillId="13" borderId="59" xfId="62" applyNumberFormat="1" applyFont="1" applyFill="1" applyBorder="1" applyAlignment="1">
      <alignment vertical="center"/>
      <protection/>
    </xf>
    <xf numFmtId="1" fontId="91" fillId="13" borderId="60" xfId="62" applyNumberFormat="1" applyFont="1" applyFill="1" applyBorder="1" applyAlignment="1">
      <alignment vertical="center"/>
      <protection/>
    </xf>
    <xf numFmtId="1" fontId="91" fillId="53" borderId="62" xfId="62" applyNumberFormat="1" applyFont="1" applyFill="1" applyBorder="1" applyAlignment="1">
      <alignment vertical="center"/>
      <protection/>
    </xf>
    <xf numFmtId="1" fontId="91" fillId="53" borderId="60" xfId="62" applyNumberFormat="1" applyFont="1" applyFill="1" applyBorder="1" applyAlignment="1">
      <alignment vertical="center"/>
      <protection/>
    </xf>
    <xf numFmtId="1" fontId="91" fillId="53" borderId="63" xfId="62" applyNumberFormat="1" applyFont="1" applyFill="1" applyBorder="1" applyAlignment="1">
      <alignment vertical="center"/>
      <protection/>
    </xf>
    <xf numFmtId="1" fontId="91" fillId="53" borderId="59" xfId="62" applyNumberFormat="1" applyFont="1" applyFill="1" applyBorder="1" applyAlignment="1">
      <alignment vertical="center"/>
      <protection/>
    </xf>
    <xf numFmtId="1" fontId="91" fillId="53" borderId="61" xfId="62" applyNumberFormat="1" applyFont="1" applyFill="1" applyBorder="1" applyAlignment="1">
      <alignment vertical="center"/>
      <protection/>
    </xf>
    <xf numFmtId="1" fontId="91" fillId="53" borderId="64" xfId="62" applyNumberFormat="1" applyFont="1" applyFill="1" applyBorder="1" applyAlignment="1">
      <alignment vertical="center"/>
      <protection/>
    </xf>
    <xf numFmtId="0" fontId="91" fillId="52" borderId="59" xfId="62" applyFont="1" applyFill="1" applyBorder="1" applyAlignment="1">
      <alignment vertical="center"/>
      <protection/>
    </xf>
    <xf numFmtId="0" fontId="91" fillId="52" borderId="65" xfId="62" applyFont="1" applyFill="1" applyBorder="1" applyAlignment="1">
      <alignment vertical="center"/>
      <protection/>
    </xf>
    <xf numFmtId="0" fontId="124" fillId="33" borderId="66" xfId="73" applyFont="1" applyBorder="1" applyAlignment="1" applyProtection="1">
      <alignment horizontal="center" vertical="center"/>
      <protection/>
    </xf>
    <xf numFmtId="0" fontId="91" fillId="46" borderId="0" xfId="62" applyFont="1" applyFill="1" applyAlignment="1" applyProtection="1">
      <alignment horizontal="center" vertical="center"/>
      <protection/>
    </xf>
    <xf numFmtId="0" fontId="91" fillId="0" borderId="67" xfId="62" applyFont="1" applyBorder="1" applyAlignment="1">
      <alignment horizontal="center" vertical="center"/>
      <protection/>
    </xf>
    <xf numFmtId="0" fontId="87" fillId="0" borderId="68" xfId="62" applyFont="1" applyBorder="1" applyAlignment="1">
      <alignment vertical="center"/>
      <protection/>
    </xf>
    <xf numFmtId="0" fontId="124" fillId="0" borderId="68" xfId="62" applyFont="1" applyBorder="1" applyAlignment="1">
      <alignment horizontal="center" vertical="center"/>
      <protection/>
    </xf>
    <xf numFmtId="0" fontId="124" fillId="0" borderId="69" xfId="62" applyFont="1" applyBorder="1" applyAlignment="1">
      <alignment horizontal="center" vertical="center"/>
      <protection/>
    </xf>
    <xf numFmtId="187" fontId="91" fillId="13" borderId="70" xfId="62" applyNumberFormat="1" applyFont="1" applyFill="1" applyBorder="1" applyAlignment="1">
      <alignment vertical="center"/>
      <protection/>
    </xf>
    <xf numFmtId="187" fontId="91" fillId="13" borderId="71" xfId="62" applyNumberFormat="1" applyFont="1" applyFill="1" applyBorder="1" applyAlignment="1">
      <alignment vertical="center"/>
      <protection/>
    </xf>
    <xf numFmtId="187" fontId="91" fillId="54" borderId="71" xfId="62" applyNumberFormat="1" applyFont="1" applyFill="1" applyBorder="1" applyAlignment="1" applyProtection="1">
      <alignment vertical="center"/>
      <protection locked="0"/>
    </xf>
    <xf numFmtId="187" fontId="91" fillId="54" borderId="72" xfId="62" applyNumberFormat="1" applyFont="1" applyFill="1" applyBorder="1" applyAlignment="1" applyProtection="1">
      <alignment vertical="center"/>
      <protection locked="0"/>
    </xf>
    <xf numFmtId="187" fontId="91" fillId="54" borderId="70" xfId="62" applyNumberFormat="1" applyFont="1" applyFill="1" applyBorder="1" applyAlignment="1" applyProtection="1">
      <alignment vertical="center"/>
      <protection locked="0"/>
    </xf>
    <xf numFmtId="187" fontId="91" fillId="54" borderId="73" xfId="62" applyNumberFormat="1" applyFont="1" applyFill="1" applyBorder="1" applyAlignment="1" applyProtection="1">
      <alignment vertical="center"/>
      <protection locked="0"/>
    </xf>
    <xf numFmtId="187" fontId="91" fillId="54" borderId="74" xfId="62" applyNumberFormat="1" applyFont="1" applyFill="1" applyBorder="1" applyAlignment="1" applyProtection="1">
      <alignment vertical="center"/>
      <protection locked="0"/>
    </xf>
    <xf numFmtId="188" fontId="66" fillId="52" borderId="70" xfId="62" applyNumberFormat="1" applyFont="1" applyFill="1" applyBorder="1" applyAlignment="1">
      <alignment horizontal="center" vertical="center"/>
      <protection/>
    </xf>
    <xf numFmtId="188" fontId="66" fillId="52" borderId="75" xfId="62" applyNumberFormat="1" applyFont="1" applyFill="1" applyBorder="1" applyAlignment="1">
      <alignment horizontal="center" vertical="center"/>
      <protection/>
    </xf>
    <xf numFmtId="0" fontId="87" fillId="0" borderId="76" xfId="62" applyFont="1" applyBorder="1" applyAlignment="1">
      <alignment vertical="center"/>
      <protection/>
    </xf>
    <xf numFmtId="0" fontId="124" fillId="0" borderId="76" xfId="62" applyFont="1" applyBorder="1" applyAlignment="1">
      <alignment horizontal="center" vertical="center"/>
      <protection/>
    </xf>
    <xf numFmtId="0" fontId="124" fillId="0" borderId="77" xfId="62" applyFont="1" applyBorder="1" applyAlignment="1">
      <alignment horizontal="center" vertical="center"/>
      <protection/>
    </xf>
    <xf numFmtId="188" fontId="91" fillId="52" borderId="70" xfId="62" applyNumberFormat="1" applyFont="1" applyFill="1" applyBorder="1" applyAlignment="1">
      <alignment vertical="center"/>
      <protection/>
    </xf>
    <xf numFmtId="188" fontId="91" fillId="52" borderId="75" xfId="62" applyNumberFormat="1" applyFont="1" applyFill="1" applyBorder="1" applyAlignment="1">
      <alignment vertical="center"/>
      <protection/>
    </xf>
    <xf numFmtId="0" fontId="87" fillId="0" borderId="71" xfId="62" applyFont="1" applyBorder="1" applyAlignment="1">
      <alignment vertical="center"/>
      <protection/>
    </xf>
    <xf numFmtId="0" fontId="124" fillId="0" borderId="71" xfId="62" applyFont="1" applyBorder="1" applyAlignment="1">
      <alignment horizontal="center" vertical="center"/>
      <protection/>
    </xf>
    <xf numFmtId="0" fontId="124" fillId="0" borderId="73" xfId="62" applyFont="1" applyBorder="1" applyAlignment="1">
      <alignment horizontal="center" vertical="center"/>
      <protection/>
    </xf>
    <xf numFmtId="10" fontId="91" fillId="0" borderId="0" xfId="70" applyNumberFormat="1" applyFont="1" applyFill="1" applyProtection="1">
      <alignment vertical="top"/>
      <protection/>
    </xf>
    <xf numFmtId="0" fontId="91" fillId="0" borderId="78" xfId="62" applyFont="1" applyBorder="1" applyAlignment="1">
      <alignment horizontal="center" vertical="center"/>
      <protection/>
    </xf>
    <xf numFmtId="0" fontId="87" fillId="0" borderId="79" xfId="62" applyFont="1" applyBorder="1" applyAlignment="1">
      <alignment vertical="center"/>
      <protection/>
    </xf>
    <xf numFmtId="0" fontId="124" fillId="0" borderId="79" xfId="62" applyFont="1" applyBorder="1" applyAlignment="1">
      <alignment horizontal="center" vertical="center"/>
      <protection/>
    </xf>
    <xf numFmtId="0" fontId="124" fillId="0" borderId="80" xfId="62" applyFont="1" applyBorder="1" applyAlignment="1">
      <alignment horizontal="center" vertical="center"/>
      <protection/>
    </xf>
    <xf numFmtId="187" fontId="91" fillId="13" borderId="78" xfId="62" applyNumberFormat="1" applyFont="1" applyFill="1" applyBorder="1" applyAlignment="1">
      <alignment vertical="center"/>
      <protection/>
    </xf>
    <xf numFmtId="187" fontId="91" fillId="13" borderId="79" xfId="62" applyNumberFormat="1" applyFont="1" applyFill="1" applyBorder="1" applyAlignment="1">
      <alignment vertical="center"/>
      <protection/>
    </xf>
    <xf numFmtId="187" fontId="91" fillId="54" borderId="78" xfId="62" applyNumberFormat="1" applyFont="1" applyFill="1" applyBorder="1" applyAlignment="1" applyProtection="1">
      <alignment vertical="center"/>
      <protection locked="0"/>
    </xf>
    <xf numFmtId="187" fontId="91" fillId="54" borderId="79" xfId="62" applyNumberFormat="1" applyFont="1" applyFill="1" applyBorder="1" applyAlignment="1" applyProtection="1">
      <alignment vertical="center"/>
      <protection locked="0"/>
    </xf>
    <xf numFmtId="187" fontId="91" fillId="54" borderId="80" xfId="62" applyNumberFormat="1" applyFont="1" applyFill="1" applyBorder="1" applyAlignment="1" applyProtection="1">
      <alignment vertical="center"/>
      <protection locked="0"/>
    </xf>
    <xf numFmtId="187" fontId="91" fillId="54" borderId="81" xfId="62" applyNumberFormat="1" applyFont="1" applyFill="1" applyBorder="1" applyAlignment="1" applyProtection="1">
      <alignment vertical="center"/>
      <protection locked="0"/>
    </xf>
    <xf numFmtId="188" fontId="91" fillId="52" borderId="78" xfId="62" applyNumberFormat="1" applyFont="1" applyFill="1" applyBorder="1" applyAlignment="1">
      <alignment vertical="center"/>
      <protection/>
    </xf>
    <xf numFmtId="188" fontId="91" fillId="52" borderId="82" xfId="62" applyNumberFormat="1" applyFont="1" applyFill="1" applyBorder="1" applyAlignment="1">
      <alignment vertical="center"/>
      <protection/>
    </xf>
    <xf numFmtId="187" fontId="72" fillId="52" borderId="0" xfId="62" applyNumberFormat="1" applyFill="1" applyAlignment="1">
      <alignment vertical="center"/>
      <protection/>
    </xf>
    <xf numFmtId="187" fontId="72" fillId="52" borderId="0" xfId="58" applyNumberFormat="1" applyFill="1">
      <alignment vertical="top"/>
    </xf>
    <xf numFmtId="0" fontId="91" fillId="52" borderId="0" xfId="62" applyFont="1" applyFill="1" applyAlignment="1">
      <alignment vertical="center"/>
      <protection/>
    </xf>
    <xf numFmtId="0" fontId="123" fillId="48" borderId="51" xfId="62" applyFont="1" applyFill="1" applyBorder="1" applyAlignment="1">
      <alignment vertical="center"/>
      <protection/>
    </xf>
    <xf numFmtId="0" fontId="124" fillId="52" borderId="60" xfId="62" applyFont="1" applyFill="1" applyBorder="1" applyAlignment="1">
      <alignment horizontal="center" vertical="center"/>
      <protection/>
    </xf>
    <xf numFmtId="1" fontId="91" fillId="13" borderId="57" xfId="62" applyNumberFormat="1" applyFont="1" applyFill="1" applyBorder="1" applyAlignment="1">
      <alignment vertical="center"/>
      <protection/>
    </xf>
    <xf numFmtId="1" fontId="91" fillId="13" borderId="62" xfId="62" applyNumberFormat="1" applyFont="1" applyFill="1" applyBorder="1" applyAlignment="1">
      <alignment vertical="center"/>
      <protection/>
    </xf>
    <xf numFmtId="188" fontId="91" fillId="52" borderId="59" xfId="62" applyNumberFormat="1" applyFont="1" applyFill="1" applyBorder="1" applyAlignment="1">
      <alignment vertical="center"/>
      <protection/>
    </xf>
    <xf numFmtId="0" fontId="124" fillId="52" borderId="68" xfId="62" applyFont="1" applyFill="1" applyBorder="1" applyAlignment="1">
      <alignment horizontal="center" vertical="center"/>
      <protection/>
    </xf>
    <xf numFmtId="1" fontId="91" fillId="13" borderId="70" xfId="62" applyNumberFormat="1" applyFont="1" applyFill="1" applyBorder="1" applyAlignment="1">
      <alignment vertical="center"/>
      <protection/>
    </xf>
    <xf numFmtId="1" fontId="91" fillId="13" borderId="71" xfId="62" applyNumberFormat="1" applyFont="1" applyFill="1" applyBorder="1" applyAlignment="1">
      <alignment vertical="center"/>
      <protection/>
    </xf>
    <xf numFmtId="0" fontId="124" fillId="52" borderId="76" xfId="62" applyFont="1" applyFill="1" applyBorder="1" applyAlignment="1">
      <alignment horizontal="center" vertical="center"/>
      <protection/>
    </xf>
    <xf numFmtId="0" fontId="124" fillId="48" borderId="0" xfId="65" applyFont="1" applyFill="1" applyAlignment="1" applyProtection="1">
      <alignment horizontal="center" vertical="center"/>
      <protection/>
    </xf>
    <xf numFmtId="167" fontId="72" fillId="0" borderId="0" xfId="58" applyFill="1">
      <alignment vertical="top"/>
    </xf>
    <xf numFmtId="0" fontId="124" fillId="52" borderId="71" xfId="62" applyFont="1" applyFill="1" applyBorder="1" applyAlignment="1">
      <alignment horizontal="center" vertical="center"/>
      <protection/>
    </xf>
    <xf numFmtId="0" fontId="124" fillId="52" borderId="79" xfId="62" applyFont="1" applyFill="1" applyBorder="1" applyAlignment="1">
      <alignment horizontal="center" vertical="center"/>
      <protection/>
    </xf>
    <xf numFmtId="1" fontId="91" fillId="13" borderId="78" xfId="62" applyNumberFormat="1" applyFont="1" applyFill="1" applyBorder="1" applyAlignment="1">
      <alignment vertical="center"/>
      <protection/>
    </xf>
    <xf numFmtId="1" fontId="91" fillId="13" borderId="79" xfId="62" applyNumberFormat="1" applyFont="1" applyFill="1" applyBorder="1" applyAlignment="1">
      <alignment vertical="center"/>
      <protection/>
    </xf>
    <xf numFmtId="188" fontId="91" fillId="52" borderId="0" xfId="62" applyNumberFormat="1" applyFont="1" applyFill="1" applyBorder="1" applyAlignment="1">
      <alignment vertical="center"/>
      <protection/>
    </xf>
    <xf numFmtId="0" fontId="91" fillId="48" borderId="0" xfId="65" applyFont="1" applyFill="1" applyAlignment="1" applyProtection="1">
      <alignment horizontal="center" vertical="center"/>
      <protection/>
    </xf>
    <xf numFmtId="0" fontId="91" fillId="0" borderId="53" xfId="62" applyFont="1" applyBorder="1" applyAlignment="1">
      <alignment horizontal="center" vertical="center"/>
      <protection/>
    </xf>
    <xf numFmtId="0" fontId="87" fillId="0" borderId="50" xfId="62" applyFont="1" applyBorder="1" applyAlignment="1">
      <alignment vertical="center"/>
      <protection/>
    </xf>
    <xf numFmtId="0" fontId="124" fillId="0" borderId="50" xfId="62" applyFont="1" applyBorder="1" applyAlignment="1">
      <alignment horizontal="center" vertical="center"/>
      <protection/>
    </xf>
    <xf numFmtId="0" fontId="124" fillId="0" borderId="51" xfId="62" applyFont="1" applyBorder="1" applyAlignment="1">
      <alignment horizontal="center" vertical="center"/>
      <protection/>
    </xf>
    <xf numFmtId="10" fontId="91" fillId="54" borderId="54" xfId="62" applyNumberFormat="1" applyFont="1" applyFill="1" applyBorder="1" applyAlignment="1" applyProtection="1">
      <alignment vertical="center"/>
      <protection locked="0"/>
    </xf>
    <xf numFmtId="10" fontId="91" fillId="54" borderId="51" xfId="62" applyNumberFormat="1" applyFont="1" applyFill="1" applyBorder="1" applyAlignment="1" applyProtection="1">
      <alignment vertical="center"/>
      <protection locked="0"/>
    </xf>
    <xf numFmtId="10" fontId="91" fillId="54" borderId="83" xfId="62" applyNumberFormat="1" applyFont="1" applyFill="1" applyBorder="1" applyAlignment="1" applyProtection="1">
      <alignment vertical="center"/>
      <protection locked="0"/>
    </xf>
    <xf numFmtId="10" fontId="91" fillId="54" borderId="50" xfId="62" applyNumberFormat="1" applyFont="1" applyFill="1" applyBorder="1" applyAlignment="1" applyProtection="1">
      <alignment vertical="center"/>
      <protection locked="0"/>
    </xf>
    <xf numFmtId="188" fontId="91" fillId="52" borderId="53" xfId="62" applyNumberFormat="1" applyFont="1" applyFill="1" applyBorder="1" applyAlignment="1">
      <alignment vertical="center"/>
      <protection/>
    </xf>
    <xf numFmtId="188" fontId="91" fillId="52" borderId="84" xfId="62" applyNumberFormat="1" applyFont="1" applyFill="1" applyBorder="1" applyAlignment="1">
      <alignment vertical="center"/>
      <protection/>
    </xf>
    <xf numFmtId="0" fontId="91" fillId="2" borderId="0" xfId="62" applyFont="1" applyFill="1" applyBorder="1" applyAlignment="1" applyProtection="1">
      <alignment horizontal="center" vertical="center"/>
      <protection/>
    </xf>
    <xf numFmtId="187" fontId="91" fillId="53" borderId="64" xfId="62" applyNumberFormat="1" applyFont="1" applyFill="1" applyBorder="1" applyAlignment="1">
      <alignment vertical="center"/>
      <protection/>
    </xf>
    <xf numFmtId="187" fontId="91" fillId="53" borderId="61" xfId="62" applyNumberFormat="1" applyFont="1" applyFill="1" applyBorder="1" applyAlignment="1">
      <alignment vertical="center"/>
      <protection/>
    </xf>
    <xf numFmtId="187" fontId="91" fillId="53" borderId="63" xfId="62" applyNumberFormat="1" applyFont="1" applyFill="1" applyBorder="1" applyAlignment="1">
      <alignment vertical="center"/>
      <protection/>
    </xf>
    <xf numFmtId="187" fontId="91" fillId="53" borderId="60" xfId="62" applyNumberFormat="1" applyFont="1" applyFill="1" applyBorder="1" applyAlignment="1">
      <alignment vertical="center"/>
      <protection/>
    </xf>
    <xf numFmtId="187" fontId="91" fillId="53" borderId="60" xfId="62" applyNumberFormat="1" applyFont="1" applyFill="1" applyBorder="1" applyAlignment="1">
      <alignment horizontal="right" vertical="center"/>
      <protection/>
    </xf>
    <xf numFmtId="187" fontId="91" fillId="53" borderId="65" xfId="62" applyNumberFormat="1" applyFont="1" applyFill="1" applyBorder="1" applyAlignment="1">
      <alignment horizontal="right" vertical="center"/>
      <protection/>
    </xf>
    <xf numFmtId="187" fontId="91" fillId="53" borderId="64" xfId="62" applyNumberFormat="1" applyFont="1" applyFill="1" applyBorder="1" applyAlignment="1">
      <alignment horizontal="right" vertical="center"/>
      <protection/>
    </xf>
    <xf numFmtId="187" fontId="91" fillId="53" borderId="61" xfId="62" applyNumberFormat="1" applyFont="1" applyFill="1" applyBorder="1" applyAlignment="1">
      <alignment horizontal="right" vertical="center"/>
      <protection/>
    </xf>
    <xf numFmtId="188" fontId="91" fillId="52" borderId="65" xfId="62" applyNumberFormat="1" applyFont="1" applyFill="1" applyBorder="1" applyAlignment="1">
      <alignment vertical="center"/>
      <protection/>
    </xf>
    <xf numFmtId="187" fontId="91" fillId="53" borderId="81" xfId="62" applyNumberFormat="1" applyFont="1" applyFill="1" applyBorder="1" applyAlignment="1">
      <alignment vertical="center"/>
      <protection/>
    </xf>
    <xf numFmtId="187" fontId="91" fillId="53" borderId="79" xfId="62" applyNumberFormat="1" applyFont="1" applyFill="1" applyBorder="1" applyAlignment="1">
      <alignment vertical="center"/>
      <protection/>
    </xf>
    <xf numFmtId="187" fontId="91" fillId="53" borderId="80" xfId="62" applyNumberFormat="1" applyFont="1" applyFill="1" applyBorder="1" applyAlignment="1">
      <alignment vertical="center"/>
      <protection/>
    </xf>
    <xf numFmtId="187" fontId="91" fillId="53" borderId="79" xfId="62" applyNumberFormat="1" applyFont="1" applyFill="1" applyBorder="1" applyAlignment="1">
      <alignment horizontal="right" vertical="center"/>
      <protection/>
    </xf>
    <xf numFmtId="187" fontId="91" fillId="53" borderId="80" xfId="62" applyNumberFormat="1" applyFont="1" applyFill="1" applyBorder="1" applyAlignment="1">
      <alignment horizontal="right" vertical="center"/>
      <protection/>
    </xf>
    <xf numFmtId="187" fontId="91" fillId="53" borderId="81" xfId="62" applyNumberFormat="1" applyFont="1" applyFill="1" applyBorder="1" applyAlignment="1">
      <alignment horizontal="right" vertical="center"/>
      <protection/>
    </xf>
    <xf numFmtId="169" fontId="72" fillId="52" borderId="0" xfId="70" applyFill="1">
      <alignment vertical="top"/>
    </xf>
    <xf numFmtId="0" fontId="72" fillId="52" borderId="0" xfId="62" applyFill="1" applyAlignment="1">
      <alignment horizontal="right" vertical="center"/>
      <protection/>
    </xf>
    <xf numFmtId="10" fontId="91" fillId="53" borderId="59" xfId="70" applyNumberFormat="1" applyFont="1" applyFill="1" applyBorder="1" applyAlignment="1">
      <alignment vertical="center"/>
    </xf>
    <xf numFmtId="10" fontId="91" fillId="53" borderId="60" xfId="70" applyNumberFormat="1" applyFont="1" applyFill="1" applyBorder="1" applyAlignment="1">
      <alignment vertical="center"/>
    </xf>
    <xf numFmtId="10" fontId="91" fillId="53" borderId="61" xfId="70" applyNumberFormat="1" applyFont="1" applyFill="1" applyBorder="1" applyAlignment="1">
      <alignment vertical="center"/>
    </xf>
    <xf numFmtId="10" fontId="91" fillId="53" borderId="64" xfId="70" applyNumberFormat="1" applyFont="1" applyFill="1" applyBorder="1" applyAlignment="1">
      <alignment vertical="center"/>
    </xf>
    <xf numFmtId="10" fontId="91" fillId="53" borderId="63" xfId="70" applyNumberFormat="1" applyFont="1" applyFill="1" applyBorder="1" applyAlignment="1">
      <alignment vertical="center"/>
    </xf>
    <xf numFmtId="10" fontId="91" fillId="53" borderId="60" xfId="70" applyNumberFormat="1" applyFont="1" applyFill="1" applyBorder="1" applyAlignment="1">
      <alignment horizontal="right" vertical="center"/>
    </xf>
    <xf numFmtId="10" fontId="91" fillId="53" borderId="61" xfId="70" applyNumberFormat="1" applyFont="1" applyFill="1" applyBorder="1" applyAlignment="1">
      <alignment horizontal="right" vertical="center"/>
    </xf>
    <xf numFmtId="10" fontId="91" fillId="53" borderId="64" xfId="70" applyNumberFormat="1" applyFont="1" applyFill="1" applyBorder="1" applyAlignment="1">
      <alignment horizontal="right" vertical="center"/>
    </xf>
    <xf numFmtId="0" fontId="91" fillId="0" borderId="70" xfId="62" applyFont="1" applyBorder="1" applyAlignment="1">
      <alignment horizontal="center" vertical="center"/>
      <protection/>
    </xf>
    <xf numFmtId="10" fontId="91" fillId="53" borderId="70" xfId="70" applyNumberFormat="1" applyFont="1" applyFill="1" applyBorder="1" applyAlignment="1">
      <alignment vertical="center"/>
    </xf>
    <xf numFmtId="10" fontId="91" fillId="53" borderId="71" xfId="70" applyNumberFormat="1" applyFont="1" applyFill="1" applyBorder="1" applyAlignment="1">
      <alignment vertical="center"/>
    </xf>
    <xf numFmtId="10" fontId="91" fillId="53" borderId="73" xfId="70" applyNumberFormat="1" applyFont="1" applyFill="1" applyBorder="1" applyAlignment="1">
      <alignment vertical="center"/>
    </xf>
    <xf numFmtId="10" fontId="91" fillId="53" borderId="74" xfId="70" applyNumberFormat="1" applyFont="1" applyFill="1" applyBorder="1" applyAlignment="1">
      <alignment vertical="center"/>
    </xf>
    <xf numFmtId="10" fontId="91" fillId="53" borderId="71" xfId="70" applyNumberFormat="1" applyFont="1" applyFill="1" applyBorder="1" applyAlignment="1">
      <alignment horizontal="right" vertical="center"/>
    </xf>
    <xf numFmtId="10" fontId="91" fillId="53" borderId="73" xfId="70" applyNumberFormat="1" applyFont="1" applyFill="1" applyBorder="1" applyAlignment="1">
      <alignment horizontal="right" vertical="center"/>
    </xf>
    <xf numFmtId="10" fontId="91" fillId="53" borderId="74" xfId="70" applyNumberFormat="1" applyFont="1" applyFill="1" applyBorder="1" applyAlignment="1">
      <alignment horizontal="right" vertical="center"/>
    </xf>
    <xf numFmtId="0" fontId="125" fillId="48" borderId="0" xfId="65" applyFont="1" applyFill="1" applyAlignment="1" applyProtection="1">
      <alignment horizontal="center" vertical="center"/>
      <protection/>
    </xf>
    <xf numFmtId="10" fontId="91" fillId="53" borderId="78" xfId="70" applyNumberFormat="1" applyFont="1" applyFill="1" applyBorder="1" applyAlignment="1">
      <alignment vertical="center"/>
    </xf>
    <xf numFmtId="10" fontId="91" fillId="53" borderId="79" xfId="70" applyNumberFormat="1" applyFont="1" applyFill="1" applyBorder="1" applyAlignment="1">
      <alignment vertical="center"/>
    </xf>
    <xf numFmtId="10" fontId="91" fillId="53" borderId="80" xfId="70" applyNumberFormat="1" applyFont="1" applyFill="1" applyBorder="1" applyAlignment="1">
      <alignment vertical="center"/>
    </xf>
    <xf numFmtId="10" fontId="91" fillId="53" borderId="81" xfId="70" applyNumberFormat="1" applyFont="1" applyFill="1" applyBorder="1" applyAlignment="1">
      <alignment vertical="center"/>
    </xf>
    <xf numFmtId="10" fontId="91" fillId="53" borderId="79" xfId="70" applyNumberFormat="1" applyFont="1" applyFill="1" applyBorder="1" applyAlignment="1">
      <alignment horizontal="right" vertical="center"/>
    </xf>
    <xf numFmtId="10" fontId="91" fillId="53" borderId="80" xfId="70" applyNumberFormat="1" applyFont="1" applyFill="1" applyBorder="1" applyAlignment="1">
      <alignment horizontal="right" vertical="center"/>
    </xf>
    <xf numFmtId="10" fontId="91" fillId="53" borderId="81" xfId="70" applyNumberFormat="1" applyFont="1" applyFill="1" applyBorder="1" applyAlignment="1">
      <alignment horizontal="right" vertical="center"/>
    </xf>
    <xf numFmtId="10" fontId="91" fillId="53" borderId="85" xfId="70" applyNumberFormat="1" applyFont="1" applyFill="1" applyBorder="1" applyAlignment="1">
      <alignment vertical="center"/>
    </xf>
    <xf numFmtId="0" fontId="87" fillId="0" borderId="62" xfId="62" applyFont="1" applyBorder="1" applyAlignment="1">
      <alignment vertical="center"/>
      <protection/>
    </xf>
    <xf numFmtId="0" fontId="124" fillId="0" borderId="62" xfId="62" applyFont="1" applyBorder="1" applyAlignment="1">
      <alignment horizontal="center" vertical="center"/>
      <protection/>
    </xf>
    <xf numFmtId="0" fontId="124" fillId="0" borderId="58" xfId="62" applyFont="1" applyBorder="1" applyAlignment="1">
      <alignment horizontal="center" vertical="center"/>
      <protection/>
    </xf>
    <xf numFmtId="10" fontId="91" fillId="54" borderId="59" xfId="62" applyNumberFormat="1" applyFont="1" applyFill="1" applyBorder="1" applyAlignment="1" applyProtection="1">
      <alignment vertical="center"/>
      <protection locked="0"/>
    </xf>
    <xf numFmtId="10" fontId="91" fillId="54" borderId="60" xfId="62" applyNumberFormat="1" applyFont="1" applyFill="1" applyBorder="1" applyAlignment="1" applyProtection="1">
      <alignment vertical="center"/>
      <protection locked="0"/>
    </xf>
    <xf numFmtId="10" fontId="91" fillId="54" borderId="61" xfId="62" applyNumberFormat="1" applyFont="1" applyFill="1" applyBorder="1" applyAlignment="1" applyProtection="1">
      <alignment vertical="center"/>
      <protection locked="0"/>
    </xf>
    <xf numFmtId="10" fontId="91" fillId="54" borderId="64" xfId="62" applyNumberFormat="1" applyFont="1" applyFill="1" applyBorder="1" applyAlignment="1" applyProtection="1">
      <alignment vertical="center"/>
      <protection locked="0"/>
    </xf>
    <xf numFmtId="167" fontId="91" fillId="52" borderId="59" xfId="58" applyFont="1" applyFill="1" applyBorder="1">
      <alignment vertical="top"/>
    </xf>
    <xf numFmtId="167" fontId="91" fillId="52" borderId="65" xfId="58" applyFont="1" applyFill="1" applyBorder="1">
      <alignment vertical="top"/>
    </xf>
    <xf numFmtId="0" fontId="125" fillId="48" borderId="0" xfId="62" applyFont="1" applyFill="1" applyAlignment="1" applyProtection="1">
      <alignment vertical="center"/>
      <protection/>
    </xf>
    <xf numFmtId="10" fontId="91" fillId="54" borderId="78" xfId="62" applyNumberFormat="1" applyFont="1" applyFill="1" applyBorder="1" applyAlignment="1" applyProtection="1">
      <alignment vertical="center"/>
      <protection locked="0"/>
    </xf>
    <xf numFmtId="10" fontId="91" fillId="54" borderId="79" xfId="62" applyNumberFormat="1" applyFont="1" applyFill="1" applyBorder="1" applyAlignment="1" applyProtection="1">
      <alignment vertical="center"/>
      <protection locked="0"/>
    </xf>
    <xf numFmtId="10" fontId="91" fillId="54" borderId="80" xfId="62" applyNumberFormat="1" applyFont="1" applyFill="1" applyBorder="1" applyAlignment="1" applyProtection="1">
      <alignment vertical="center"/>
      <protection locked="0"/>
    </xf>
    <xf numFmtId="10" fontId="91" fillId="54" borderId="86" xfId="62" applyNumberFormat="1" applyFont="1" applyFill="1" applyBorder="1" applyAlignment="1" applyProtection="1">
      <alignment vertical="center"/>
      <protection locked="0"/>
    </xf>
    <xf numFmtId="10" fontId="91" fillId="54" borderId="87" xfId="62" applyNumberFormat="1" applyFont="1" applyFill="1" applyBorder="1" applyAlignment="1" applyProtection="1">
      <alignment vertical="center"/>
      <protection locked="0"/>
    </xf>
    <xf numFmtId="167" fontId="91" fillId="52" borderId="78" xfId="58" applyFont="1" applyFill="1" applyBorder="1">
      <alignment vertical="top"/>
    </xf>
    <xf numFmtId="167" fontId="91" fillId="52" borderId="82" xfId="58" applyFont="1" applyFill="1" applyBorder="1">
      <alignment vertical="top"/>
    </xf>
    <xf numFmtId="0" fontId="124" fillId="33" borderId="0" xfId="73" applyFont="1" applyBorder="1" applyAlignment="1" applyProtection="1">
      <alignment horizontal="center" vertical="center"/>
      <protection/>
    </xf>
    <xf numFmtId="0" fontId="125" fillId="0" borderId="0" xfId="62" applyFont="1" applyFill="1" applyAlignment="1" applyProtection="1">
      <alignment vertical="center"/>
      <protection/>
    </xf>
    <xf numFmtId="0" fontId="68" fillId="52" borderId="0" xfId="59" applyFont="1" applyFill="1" applyAlignment="1">
      <alignment vertical="center"/>
      <protection/>
    </xf>
    <xf numFmtId="0" fontId="0" fillId="52" borderId="0" xfId="59" applyFont="1" applyFill="1" applyAlignment="1">
      <alignment vertical="center"/>
      <protection/>
    </xf>
    <xf numFmtId="0" fontId="0" fillId="52" borderId="0" xfId="59" applyFont="1" applyFill="1" applyBorder="1" applyAlignment="1">
      <alignment vertical="center"/>
      <protection/>
    </xf>
    <xf numFmtId="0" fontId="0" fillId="52" borderId="0" xfId="59" applyFill="1" applyAlignment="1">
      <alignment vertical="center"/>
      <protection/>
    </xf>
    <xf numFmtId="0" fontId="1" fillId="52" borderId="0" xfId="63" applyFill="1">
      <alignment/>
      <protection/>
    </xf>
    <xf numFmtId="0" fontId="87" fillId="54" borderId="71" xfId="62" applyFont="1" applyFill="1" applyBorder="1" applyAlignment="1">
      <alignment horizontal="center" vertical="center"/>
      <protection/>
    </xf>
    <xf numFmtId="0" fontId="87" fillId="52" borderId="0" xfId="62" applyFont="1" applyFill="1" applyBorder="1" applyAlignment="1">
      <alignment horizontal="left" vertical="center"/>
      <protection/>
    </xf>
    <xf numFmtId="0" fontId="124" fillId="52" borderId="66" xfId="73" applyFont="1" applyFill="1" applyBorder="1" applyAlignment="1" applyProtection="1">
      <alignment horizontal="center" vertical="center"/>
      <protection/>
    </xf>
    <xf numFmtId="0" fontId="124" fillId="52" borderId="0" xfId="73" applyFont="1" applyFill="1" applyBorder="1" applyAlignment="1" applyProtection="1">
      <alignment horizontal="center" vertical="center"/>
      <protection/>
    </xf>
    <xf numFmtId="0" fontId="91" fillId="2" borderId="0" xfId="62" applyFont="1" applyFill="1" applyAlignment="1" applyProtection="1">
      <alignment horizontal="center" vertical="center"/>
      <protection/>
    </xf>
    <xf numFmtId="0" fontId="87" fillId="55" borderId="71" xfId="62" applyFont="1" applyFill="1" applyBorder="1" applyAlignment="1">
      <alignment horizontal="center" vertical="center"/>
      <protection/>
    </xf>
    <xf numFmtId="0" fontId="125" fillId="0" borderId="0" xfId="62" applyFont="1" applyFill="1" applyAlignment="1" applyProtection="1">
      <alignment horizontal="center" vertical="center" wrapText="1"/>
      <protection/>
    </xf>
    <xf numFmtId="0" fontId="72" fillId="0" borderId="0" xfId="62" applyFill="1" applyAlignment="1" applyProtection="1">
      <alignment vertical="center"/>
      <protection/>
    </xf>
    <xf numFmtId="0" fontId="87" fillId="53" borderId="71" xfId="62" applyFont="1" applyFill="1" applyBorder="1" applyAlignment="1">
      <alignment horizontal="center" vertical="center"/>
      <protection/>
    </xf>
    <xf numFmtId="0" fontId="125" fillId="0" borderId="0" xfId="62" applyFont="1" applyFill="1" applyAlignment="1" applyProtection="1">
      <alignment horizontal="center" vertical="center"/>
      <protection/>
    </xf>
    <xf numFmtId="0" fontId="87" fillId="13" borderId="71" xfId="62" applyFont="1" applyFill="1" applyBorder="1" applyAlignment="1">
      <alignment horizontal="center" vertical="center"/>
      <protection/>
    </xf>
    <xf numFmtId="0" fontId="126" fillId="52" borderId="0" xfId="62" applyNumberFormat="1" applyFont="1" applyFill="1" applyBorder="1" applyAlignment="1" applyProtection="1">
      <alignment vertical="center"/>
      <protection/>
    </xf>
    <xf numFmtId="0" fontId="72" fillId="52" borderId="0" xfId="62" applyFill="1" applyBorder="1" applyAlignment="1">
      <alignment vertical="center"/>
      <protection/>
    </xf>
    <xf numFmtId="0" fontId="127" fillId="52" borderId="0" xfId="59" applyFont="1" applyFill="1" applyBorder="1" applyAlignment="1" applyProtection="1">
      <alignment horizontal="left" vertical="center"/>
      <protection/>
    </xf>
    <xf numFmtId="0" fontId="127" fillId="52" borderId="0" xfId="59" applyFont="1" applyFill="1" applyBorder="1" applyAlignment="1" applyProtection="1">
      <alignment vertical="center"/>
      <protection/>
    </xf>
    <xf numFmtId="0" fontId="1" fillId="52" borderId="0" xfId="63" applyFill="1" applyBorder="1">
      <alignment/>
      <protection/>
    </xf>
    <xf numFmtId="2" fontId="0" fillId="52" borderId="0" xfId="62" applyNumberFormat="1" applyFont="1" applyFill="1" applyBorder="1" applyAlignment="1" applyProtection="1">
      <alignment vertical="top" wrapText="1"/>
      <protection/>
    </xf>
    <xf numFmtId="0" fontId="0" fillId="52" borderId="0" xfId="59" applyFont="1" applyFill="1" applyAlignment="1" applyProtection="1">
      <alignment vertical="center"/>
      <protection/>
    </xf>
    <xf numFmtId="0" fontId="0" fillId="52" borderId="0" xfId="59" applyFont="1" applyFill="1" applyAlignment="1" applyProtection="1">
      <alignment horizontal="left" vertical="center"/>
      <protection/>
    </xf>
    <xf numFmtId="0" fontId="72" fillId="52" borderId="0" xfId="62" applyFill="1" applyProtection="1">
      <alignment/>
      <protection/>
    </xf>
    <xf numFmtId="0" fontId="68" fillId="0" borderId="59" xfId="59" applyFont="1" applyFill="1" applyBorder="1" applyAlignment="1" applyProtection="1">
      <alignment horizontal="center" vertical="top"/>
      <protection/>
    </xf>
    <xf numFmtId="0" fontId="68" fillId="52" borderId="0" xfId="59" applyFont="1" applyFill="1" applyBorder="1" applyAlignment="1" applyProtection="1">
      <alignment vertical="top"/>
      <protection/>
    </xf>
    <xf numFmtId="0" fontId="68" fillId="48" borderId="88" xfId="59" applyFont="1" applyFill="1" applyBorder="1" applyAlignment="1" applyProtection="1">
      <alignment vertical="top"/>
      <protection/>
    </xf>
    <xf numFmtId="0" fontId="68" fillId="48" borderId="89" xfId="59" applyFont="1" applyFill="1" applyBorder="1" applyAlignment="1" applyProtection="1">
      <alignment vertical="top"/>
      <protection/>
    </xf>
    <xf numFmtId="0" fontId="68" fillId="48" borderId="75" xfId="59" applyFont="1" applyFill="1" applyBorder="1" applyAlignment="1" applyProtection="1">
      <alignment vertical="top"/>
      <protection/>
    </xf>
    <xf numFmtId="0" fontId="0" fillId="0" borderId="70" xfId="59" applyNumberFormat="1" applyFont="1" applyFill="1" applyBorder="1" applyAlignment="1" applyProtection="1" quotePrefix="1">
      <alignment horizontal="center" vertical="top" wrapText="1"/>
      <protection/>
    </xf>
    <xf numFmtId="49" fontId="0" fillId="52" borderId="0" xfId="59" applyNumberFormat="1" applyFont="1" applyFill="1" applyBorder="1" applyAlignment="1" applyProtection="1">
      <alignment vertical="top" wrapText="1"/>
      <protection/>
    </xf>
    <xf numFmtId="0" fontId="0" fillId="0" borderId="70" xfId="59" applyNumberFormat="1" applyFont="1" applyFill="1" applyBorder="1" applyAlignment="1" applyProtection="1">
      <alignment horizontal="center" vertical="top" wrapText="1"/>
      <protection/>
    </xf>
    <xf numFmtId="0" fontId="0" fillId="0" borderId="90" xfId="59" applyNumberFormat="1" applyFont="1" applyFill="1" applyBorder="1" applyAlignment="1" applyProtection="1" quotePrefix="1">
      <alignment horizontal="center" vertical="top" wrapText="1"/>
      <protection/>
    </xf>
    <xf numFmtId="0" fontId="0" fillId="0" borderId="91" xfId="59" applyNumberFormat="1" applyFont="1" applyFill="1" applyBorder="1" applyAlignment="1" applyProtection="1" quotePrefix="1">
      <alignment horizontal="center" vertical="top" wrapText="1"/>
      <protection/>
    </xf>
    <xf numFmtId="0" fontId="0" fillId="0" borderId="78" xfId="59" applyNumberFormat="1" applyFont="1" applyFill="1" applyBorder="1" applyAlignment="1" applyProtection="1" quotePrefix="1">
      <alignment horizontal="center" vertical="top" wrapText="1"/>
      <protection/>
    </xf>
    <xf numFmtId="167" fontId="0" fillId="0" borderId="0" xfId="0" applyAlignment="1">
      <alignment vertical="center"/>
    </xf>
    <xf numFmtId="167" fontId="0" fillId="0" borderId="0" xfId="0" applyAlignment="1">
      <alignment vertical="center" wrapText="1"/>
    </xf>
    <xf numFmtId="167" fontId="0" fillId="0" borderId="0" xfId="0" applyAlignment="1">
      <alignment horizontal="center" vertical="center"/>
    </xf>
    <xf numFmtId="182" fontId="0" fillId="0" borderId="0" xfId="0" applyNumberFormat="1" applyAlignment="1">
      <alignment vertical="center"/>
    </xf>
    <xf numFmtId="182" fontId="0" fillId="46" borderId="0" xfId="0" applyNumberFormat="1" applyFill="1" applyAlignment="1">
      <alignment vertical="center"/>
    </xf>
    <xf numFmtId="181" fontId="0" fillId="0" borderId="0" xfId="0" applyNumberFormat="1" applyAlignment="1">
      <alignment vertical="center"/>
    </xf>
    <xf numFmtId="183" fontId="0" fillId="0" borderId="0" xfId="0" applyNumberFormat="1" applyAlignment="1">
      <alignment vertical="center"/>
    </xf>
    <xf numFmtId="189" fontId="0" fillId="0" borderId="0" xfId="0" applyNumberFormat="1" applyAlignment="1">
      <alignment vertical="center"/>
    </xf>
    <xf numFmtId="184" fontId="0" fillId="0" borderId="0" xfId="0" applyNumberFormat="1" applyAlignment="1">
      <alignment vertical="center"/>
    </xf>
    <xf numFmtId="10" fontId="0" fillId="0" borderId="0" xfId="0" applyNumberFormat="1" applyAlignment="1">
      <alignment vertical="center"/>
    </xf>
    <xf numFmtId="185" fontId="0" fillId="0" borderId="0" xfId="0" applyNumberFormat="1" applyAlignment="1">
      <alignment vertical="center"/>
    </xf>
    <xf numFmtId="186" fontId="0" fillId="0" borderId="0" xfId="0" applyNumberFormat="1" applyAlignment="1">
      <alignment vertical="center"/>
    </xf>
    <xf numFmtId="181" fontId="0" fillId="46" borderId="0" xfId="0" applyNumberFormat="1" applyFill="1" applyAlignment="1">
      <alignment vertical="center"/>
    </xf>
    <xf numFmtId="49" fontId="0" fillId="0" borderId="72" xfId="59" applyNumberFormat="1" applyFont="1" applyFill="1" applyBorder="1" applyAlignment="1" applyProtection="1">
      <alignment horizontal="left" vertical="top" wrapText="1"/>
      <protection/>
    </xf>
    <xf numFmtId="49" fontId="0" fillId="0" borderId="89" xfId="59" applyNumberFormat="1" applyFont="1" applyFill="1" applyBorder="1" applyAlignment="1" applyProtection="1">
      <alignment horizontal="left" vertical="top" wrapText="1"/>
      <protection/>
    </xf>
    <xf numFmtId="49" fontId="0" fillId="0" borderId="75" xfId="59" applyNumberFormat="1" applyFont="1" applyFill="1" applyBorder="1" applyAlignment="1" applyProtection="1">
      <alignment horizontal="left" vertical="top" wrapText="1"/>
      <protection/>
    </xf>
    <xf numFmtId="49" fontId="0" fillId="0" borderId="76" xfId="59" applyNumberFormat="1" applyFont="1" applyFill="1" applyBorder="1" applyAlignment="1" applyProtection="1">
      <alignment horizontal="left" vertical="top" wrapText="1"/>
      <protection/>
    </xf>
    <xf numFmtId="49" fontId="0" fillId="0" borderId="77" xfId="59" applyNumberFormat="1" applyFont="1" applyFill="1" applyBorder="1" applyAlignment="1" applyProtection="1">
      <alignment horizontal="left" vertical="top" wrapText="1"/>
      <protection/>
    </xf>
    <xf numFmtId="49" fontId="0" fillId="0" borderId="79" xfId="59" applyNumberFormat="1" applyFont="1" applyFill="1" applyBorder="1" applyAlignment="1" applyProtection="1">
      <alignment horizontal="left" vertical="top" wrapText="1"/>
      <protection/>
    </xf>
    <xf numFmtId="49" fontId="0" fillId="0" borderId="80" xfId="59" applyNumberFormat="1" applyFont="1" applyFill="1" applyBorder="1" applyAlignment="1" applyProtection="1">
      <alignment horizontal="left" vertical="top" wrapText="1"/>
      <protection/>
    </xf>
    <xf numFmtId="0" fontId="68" fillId="0" borderId="63" xfId="59" applyFont="1" applyFill="1" applyBorder="1" applyAlignment="1" applyProtection="1">
      <alignment horizontal="left" vertical="top"/>
      <protection/>
    </xf>
    <xf numFmtId="0" fontId="68" fillId="0" borderId="92" xfId="59" applyFont="1" applyFill="1" applyBorder="1" applyAlignment="1" applyProtection="1">
      <alignment horizontal="left" vertical="top"/>
      <protection/>
    </xf>
    <xf numFmtId="0" fontId="68" fillId="0" borderId="65" xfId="59" applyFont="1" applyFill="1" applyBorder="1" applyAlignment="1" applyProtection="1">
      <alignment horizontal="left" vertical="top"/>
      <protection/>
    </xf>
    <xf numFmtId="49" fontId="0" fillId="0" borderId="71" xfId="59" applyNumberFormat="1" applyFont="1" applyFill="1" applyBorder="1" applyAlignment="1" applyProtection="1">
      <alignment horizontal="left" vertical="top" wrapText="1"/>
      <protection/>
    </xf>
    <xf numFmtId="49" fontId="0" fillId="0" borderId="73" xfId="59" applyNumberFormat="1" applyFont="1" applyFill="1" applyBorder="1" applyAlignment="1" applyProtection="1">
      <alignment horizontal="left" vertical="top" wrapText="1"/>
      <protection/>
    </xf>
    <xf numFmtId="2" fontId="0" fillId="0" borderId="54" xfId="62" applyNumberFormat="1" applyFont="1" applyFill="1" applyBorder="1" applyAlignment="1" applyProtection="1">
      <alignment horizontal="left" vertical="top" wrapText="1"/>
      <protection/>
    </xf>
    <xf numFmtId="2" fontId="0" fillId="0" borderId="93" xfId="62" applyNumberFormat="1" applyFont="1" applyFill="1" applyBorder="1" applyAlignment="1" applyProtection="1">
      <alignment horizontal="left" vertical="top" wrapText="1"/>
      <protection/>
    </xf>
    <xf numFmtId="2" fontId="0" fillId="0" borderId="84" xfId="62" applyNumberFormat="1" applyFont="1" applyFill="1" applyBorder="1" applyAlignment="1" applyProtection="1">
      <alignment horizontal="left" vertical="top" wrapText="1"/>
      <protection/>
    </xf>
    <xf numFmtId="0" fontId="122" fillId="51" borderId="0" xfId="62" applyFont="1" applyFill="1" applyBorder="1" applyAlignment="1">
      <alignment horizontal="left" vertical="center"/>
      <protection/>
    </xf>
    <xf numFmtId="0" fontId="123" fillId="48" borderId="54" xfId="62" applyFont="1" applyFill="1" applyBorder="1" applyAlignment="1">
      <alignment horizontal="left" vertical="center"/>
      <protection/>
    </xf>
    <xf numFmtId="0" fontId="123" fillId="48" borderId="83" xfId="62" applyFont="1" applyFill="1" applyBorder="1" applyAlignment="1">
      <alignment horizontal="left" vertical="center"/>
      <protection/>
    </xf>
    <xf numFmtId="0" fontId="91" fillId="46" borderId="0" xfId="62" applyFont="1" applyFill="1" applyAlignment="1" applyProtection="1">
      <alignment horizontal="center" vertical="center" wrapText="1"/>
      <protection/>
    </xf>
    <xf numFmtId="0" fontId="126" fillId="48" borderId="54" xfId="62" applyNumberFormat="1" applyFont="1" applyFill="1" applyBorder="1" applyAlignment="1" applyProtection="1">
      <alignment horizontal="left" vertical="center"/>
      <protection/>
    </xf>
    <xf numFmtId="0" fontId="126" fillId="48" borderId="93" xfId="62" applyNumberFormat="1" applyFont="1" applyFill="1" applyBorder="1" applyAlignment="1" applyProtection="1">
      <alignment horizontal="left" vertical="center"/>
      <protection/>
    </xf>
    <xf numFmtId="0" fontId="126" fillId="48" borderId="84" xfId="62" applyNumberFormat="1" applyFont="1" applyFill="1" applyBorder="1" applyAlignment="1" applyProtection="1">
      <alignment horizontal="left" vertical="center"/>
      <protection/>
    </xf>
    <xf numFmtId="167" fontId="128" fillId="47" borderId="0" xfId="0" applyFont="1" applyFill="1" applyAlignment="1">
      <alignment vertical="top"/>
    </xf>
    <xf numFmtId="167" fontId="0" fillId="0" borderId="0" xfId="0" applyAlignment="1">
      <alignment horizontal="center" vertic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DateLong" xfId="42"/>
    <cellStyle name="DateShort" xfId="43"/>
    <cellStyle name="Explanatory Text" xfId="44"/>
    <cellStyle name="Factor" xfId="45"/>
    <cellStyle name="Followed Hyperlink"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2" xfId="56"/>
    <cellStyle name="Normal 2" xfId="57"/>
    <cellStyle name="Normal 2 2" xfId="58"/>
    <cellStyle name="Normal 2 2 2" xfId="59"/>
    <cellStyle name="Normal 2 3" xfId="60"/>
    <cellStyle name="Normal 3" xfId="61"/>
    <cellStyle name="Normal 3 2" xfId="62"/>
    <cellStyle name="Normal 3 7" xfId="63"/>
    <cellStyle name="Normal 4" xfId="64"/>
    <cellStyle name="Normal 4 2" xfId="65"/>
    <cellStyle name="Normal 5" xfId="66"/>
    <cellStyle name="Note" xfId="67"/>
    <cellStyle name="Output" xfId="68"/>
    <cellStyle name="Percent" xfId="69"/>
    <cellStyle name="Percent 2" xfId="70"/>
    <cellStyle name="Title" xfId="71"/>
    <cellStyle name="Total" xfId="72"/>
    <cellStyle name="Validation error" xfId="73"/>
    <cellStyle name="Warning Text" xfId="74"/>
    <cellStyle name="Year" xfId="75"/>
    <cellStyle name="Year 2" xfId="76"/>
  </cellStyles>
  <dxfs count="35">
    <dxf>
      <fill>
        <patternFill>
          <bgColor indexed="47"/>
        </patternFill>
      </fill>
    </dxf>
    <dxf>
      <fill>
        <patternFill>
          <bgColor indexed="44"/>
        </patternFill>
      </fill>
    </dxf>
    <dxf>
      <font>
        <b/>
        <i val="0"/>
        <color theme="0"/>
      </font>
      <fill>
        <patternFill>
          <bgColor theme="4" tint="-0.24993999302387238"/>
        </patternFill>
      </fill>
    </dxf>
    <dxf>
      <font>
        <b/>
        <i val="0"/>
        <color theme="0"/>
      </font>
      <fill>
        <patternFill>
          <bgColor theme="4" tint="-0.24993999302387238"/>
        </patternFill>
      </fill>
    </dxf>
    <dxf>
      <fill>
        <patternFill>
          <bgColor indexed="47"/>
        </patternFill>
      </fill>
    </dxf>
    <dxf>
      <fill>
        <patternFill>
          <bgColor indexed="44"/>
        </patternFill>
      </fill>
    </dxf>
    <dxf>
      <font>
        <b/>
        <i val="0"/>
        <color theme="0"/>
      </font>
      <fill>
        <patternFill>
          <bgColor theme="4" tint="-0.24993999302387238"/>
        </patternFill>
      </fill>
    </dxf>
    <dxf>
      <font>
        <b/>
        <i val="0"/>
        <color theme="0"/>
      </font>
      <fill>
        <patternFill>
          <bgColor theme="4" tint="-0.24993999302387238"/>
        </patternFill>
      </fill>
    </dxf>
    <dxf>
      <fill>
        <patternFill>
          <bgColor indexed="47"/>
        </patternFill>
      </fill>
    </dxf>
    <dxf>
      <fill>
        <patternFill>
          <bgColor indexed="44"/>
        </patternFill>
      </fill>
    </dxf>
    <dxf>
      <font>
        <b/>
        <i val="0"/>
        <color theme="0"/>
      </font>
      <fill>
        <patternFill>
          <bgColor theme="4" tint="-0.24993999302387238"/>
        </patternFill>
      </fill>
    </dxf>
    <dxf>
      <font>
        <b/>
        <i val="0"/>
        <color theme="0"/>
      </font>
      <fill>
        <patternFill>
          <bgColor theme="4" tint="-0.24993999302387238"/>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
      <fill>
        <patternFill>
          <bgColor indexed="10"/>
        </patternFill>
      </fill>
    </dxf>
    <dxf>
      <fill>
        <patternFill>
          <bgColor indexed="10"/>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ont>
        <color theme="0"/>
      </font>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514350</xdr:colOff>
      <xdr:row>2</xdr:row>
      <xdr:rowOff>228600</xdr:rowOff>
    </xdr:from>
    <xdr:to>
      <xdr:col>6</xdr:col>
      <xdr:colOff>3133725</xdr:colOff>
      <xdr:row>6</xdr:row>
      <xdr:rowOff>95250</xdr:rowOff>
    </xdr:to>
    <xdr:pic>
      <xdr:nvPicPr>
        <xdr:cNvPr id="1" name="Picture 1"/>
        <xdr:cNvPicPr preferRelativeResize="1">
          <a:picLocks noChangeAspect="1"/>
        </xdr:cNvPicPr>
      </xdr:nvPicPr>
      <xdr:blipFill>
        <a:blip r:embed="rId1"/>
        <a:stretch>
          <a:fillRect/>
        </a:stretch>
      </xdr:blipFill>
      <xdr:spPr>
        <a:xfrm>
          <a:off x="9677400" y="676275"/>
          <a:ext cx="26193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20</xdr:row>
      <xdr:rowOff>57150</xdr:rowOff>
    </xdr:from>
    <xdr:to>
      <xdr:col>11</xdr:col>
      <xdr:colOff>2038350</xdr:colOff>
      <xdr:row>22</xdr:row>
      <xdr:rowOff>85725</xdr:rowOff>
    </xdr:to>
    <xdr:sp>
      <xdr:nvSpPr>
        <xdr:cNvPr id="1" name="AutoShape 14"/>
        <xdr:cNvSpPr>
          <a:spLocks/>
        </xdr:cNvSpPr>
      </xdr:nvSpPr>
      <xdr:spPr>
        <a:xfrm>
          <a:off x="4067175" y="3629025"/>
          <a:ext cx="1714500" cy="352425"/>
        </a:xfrm>
        <a:prstGeom prst="curvedUpArrow">
          <a:avLst/>
        </a:prstGeom>
        <a:solidFill>
          <a:srgbClr val="CCFFCC"/>
        </a:solidFill>
        <a:ln w="158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14</xdr:row>
      <xdr:rowOff>85725</xdr:rowOff>
    </xdr:from>
    <xdr:to>
      <xdr:col>11</xdr:col>
      <xdr:colOff>1981200</xdr:colOff>
      <xdr:row>16</xdr:row>
      <xdr:rowOff>114300</xdr:rowOff>
    </xdr:to>
    <xdr:sp>
      <xdr:nvSpPr>
        <xdr:cNvPr id="2" name="AutoShape 15"/>
        <xdr:cNvSpPr>
          <a:spLocks/>
        </xdr:cNvSpPr>
      </xdr:nvSpPr>
      <xdr:spPr>
        <a:xfrm rot="10800000">
          <a:off x="3810000" y="2647950"/>
          <a:ext cx="1914525" cy="352425"/>
        </a:xfrm>
        <a:prstGeom prst="curvedUpArrow">
          <a:avLst/>
        </a:prstGeom>
        <a:solidFill>
          <a:srgbClr val="CCFFCC"/>
        </a:solidFill>
        <a:ln w="158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17</xdr:row>
      <xdr:rowOff>114300</xdr:rowOff>
    </xdr:from>
    <xdr:to>
      <xdr:col>10</xdr:col>
      <xdr:colOff>104775</xdr:colOff>
      <xdr:row>19</xdr:row>
      <xdr:rowOff>47625</xdr:rowOff>
    </xdr:to>
    <xdr:sp>
      <xdr:nvSpPr>
        <xdr:cNvPr id="3" name="AutoShape 16"/>
        <xdr:cNvSpPr>
          <a:spLocks/>
        </xdr:cNvSpPr>
      </xdr:nvSpPr>
      <xdr:spPr>
        <a:xfrm rot="10800000">
          <a:off x="3105150" y="3171825"/>
          <a:ext cx="561975" cy="285750"/>
        </a:xfrm>
        <a:prstGeom prst="leftArrow">
          <a:avLst/>
        </a:prstGeom>
        <a:solidFill>
          <a:srgbClr val="CCFFCC"/>
        </a:solidFill>
        <a:ln w="158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866775</xdr:colOff>
      <xdr:row>9</xdr:row>
      <xdr:rowOff>114300</xdr:rowOff>
    </xdr:from>
    <xdr:to>
      <xdr:col>15</xdr:col>
      <xdr:colOff>1114425</xdr:colOff>
      <xdr:row>16</xdr:row>
      <xdr:rowOff>95250</xdr:rowOff>
    </xdr:to>
    <xdr:sp>
      <xdr:nvSpPr>
        <xdr:cNvPr id="4" name="AutoShape 27"/>
        <xdr:cNvSpPr>
          <a:spLocks/>
        </xdr:cNvSpPr>
      </xdr:nvSpPr>
      <xdr:spPr>
        <a:xfrm rot="5400000">
          <a:off x="7334250" y="1828800"/>
          <a:ext cx="247650" cy="1152525"/>
        </a:xfrm>
        <a:prstGeom prst="leftArrow">
          <a:avLst/>
        </a:prstGeom>
        <a:solidFill>
          <a:srgbClr val="CCFFCC"/>
        </a:solidFill>
        <a:ln w="158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838200</xdr:colOff>
      <xdr:row>9</xdr:row>
      <xdr:rowOff>104775</xdr:rowOff>
    </xdr:from>
    <xdr:to>
      <xdr:col>7</xdr:col>
      <xdr:colOff>1114425</xdr:colOff>
      <xdr:row>16</xdr:row>
      <xdr:rowOff>85725</xdr:rowOff>
    </xdr:to>
    <xdr:sp>
      <xdr:nvSpPr>
        <xdr:cNvPr id="5" name="AutoShape 28"/>
        <xdr:cNvSpPr>
          <a:spLocks/>
        </xdr:cNvSpPr>
      </xdr:nvSpPr>
      <xdr:spPr>
        <a:xfrm rot="16200000">
          <a:off x="1857375" y="1819275"/>
          <a:ext cx="276225" cy="1152525"/>
        </a:xfrm>
        <a:prstGeom prst="leftArrow">
          <a:avLst>
            <a:gd name="adj1" fmla="val -21398"/>
            <a:gd name="adj2" fmla="val -19231"/>
          </a:avLst>
        </a:prstGeom>
        <a:solidFill>
          <a:srgbClr val="CCFFCC"/>
        </a:solidFill>
        <a:ln w="158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17</xdr:row>
      <xdr:rowOff>114300</xdr:rowOff>
    </xdr:from>
    <xdr:to>
      <xdr:col>14</xdr:col>
      <xdr:colOff>0</xdr:colOff>
      <xdr:row>19</xdr:row>
      <xdr:rowOff>47625</xdr:rowOff>
    </xdr:to>
    <xdr:sp>
      <xdr:nvSpPr>
        <xdr:cNvPr id="6" name="AutoShape 39"/>
        <xdr:cNvSpPr>
          <a:spLocks/>
        </xdr:cNvSpPr>
      </xdr:nvSpPr>
      <xdr:spPr>
        <a:xfrm rot="10800000">
          <a:off x="5829300" y="3171825"/>
          <a:ext cx="457200" cy="285750"/>
        </a:xfrm>
        <a:prstGeom prst="leftArrow">
          <a:avLst>
            <a:gd name="adj" fmla="val -30587"/>
          </a:avLst>
        </a:prstGeom>
        <a:solidFill>
          <a:srgbClr val="CCFFCC"/>
        </a:solidFill>
        <a:ln w="158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34</xdr:row>
      <xdr:rowOff>152400</xdr:rowOff>
    </xdr:from>
    <xdr:to>
      <xdr:col>10</xdr:col>
      <xdr:colOff>0</xdr:colOff>
      <xdr:row>35</xdr:row>
      <xdr:rowOff>142875</xdr:rowOff>
    </xdr:to>
    <xdr:sp>
      <xdr:nvSpPr>
        <xdr:cNvPr id="7" name="AutoShape 38"/>
        <xdr:cNvSpPr>
          <a:spLocks/>
        </xdr:cNvSpPr>
      </xdr:nvSpPr>
      <xdr:spPr>
        <a:xfrm rot="10800000">
          <a:off x="3248025" y="6019800"/>
          <a:ext cx="314325" cy="161925"/>
        </a:xfrm>
        <a:prstGeom prst="leftArrow">
          <a:avLst>
            <a:gd name="adj" fmla="val -24620"/>
          </a:avLst>
        </a:prstGeom>
        <a:solidFill>
          <a:srgbClr val="CCFFCC"/>
        </a:solidFill>
        <a:ln w="158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35</xdr:row>
      <xdr:rowOff>0</xdr:rowOff>
    </xdr:from>
    <xdr:to>
      <xdr:col>10</xdr:col>
      <xdr:colOff>0</xdr:colOff>
      <xdr:row>35</xdr:row>
      <xdr:rowOff>152400</xdr:rowOff>
    </xdr:to>
    <xdr:sp>
      <xdr:nvSpPr>
        <xdr:cNvPr id="8" name="AutoShape 38"/>
        <xdr:cNvSpPr>
          <a:spLocks/>
        </xdr:cNvSpPr>
      </xdr:nvSpPr>
      <xdr:spPr>
        <a:xfrm rot="10800000">
          <a:off x="3248025" y="6038850"/>
          <a:ext cx="314325" cy="152400"/>
        </a:xfrm>
        <a:prstGeom prst="leftArrow">
          <a:avLst/>
        </a:prstGeom>
        <a:solidFill>
          <a:srgbClr val="CCFFCC"/>
        </a:solidFill>
        <a:ln w="158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35</xdr:row>
      <xdr:rowOff>0</xdr:rowOff>
    </xdr:from>
    <xdr:to>
      <xdr:col>14</xdr:col>
      <xdr:colOff>0</xdr:colOff>
      <xdr:row>35</xdr:row>
      <xdr:rowOff>152400</xdr:rowOff>
    </xdr:to>
    <xdr:sp>
      <xdr:nvSpPr>
        <xdr:cNvPr id="9" name="AutoShape 38"/>
        <xdr:cNvSpPr>
          <a:spLocks/>
        </xdr:cNvSpPr>
      </xdr:nvSpPr>
      <xdr:spPr>
        <a:xfrm rot="10800000">
          <a:off x="5991225" y="6038850"/>
          <a:ext cx="295275" cy="152400"/>
        </a:xfrm>
        <a:prstGeom prst="leftArrow">
          <a:avLst/>
        </a:prstGeom>
        <a:solidFill>
          <a:srgbClr val="CCFFCC"/>
        </a:solidFill>
        <a:ln w="158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ofwat.gov.uk/wp-content/uploads/2018/05/20180518-PR19-Business-plan-data-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yorkshirewater.sharepoint.com/PR19%20-%20Modelling/PR14%20-%20past%20rec/July%202019%20-%20update/Copy%20of%20APP23%202019%20upd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 control"/>
      <sheetName val="Validation flags"/>
      <sheetName val="F_Inputs"/>
      <sheetName val="APPOINTEE"/>
      <sheetName val="Summary (App)"/>
      <sheetName val="AppValidation"/>
      <sheetName val="AppPCview"/>
      <sheetName val="App1"/>
      <sheetName val="App1 guide"/>
      <sheetName val="App2"/>
      <sheetName val="App3"/>
      <sheetName val="App4"/>
      <sheetName val="App5"/>
      <sheetName val="App6"/>
      <sheetName val="App7"/>
      <sheetName val="App8"/>
      <sheetName val="App8 (DRAFT)"/>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sheetName val="App28"/>
      <sheetName val="App29"/>
      <sheetName val="App30"/>
      <sheetName val="App31"/>
      <sheetName val="App32"/>
      <sheetName val="App33 (DRAFT)"/>
      <sheetName val="WATER&gt;&gt;"/>
      <sheetName val="Summary (W)"/>
      <sheetName val="WS1"/>
      <sheetName val="WS1a (DRAFT)"/>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2"/>
      <sheetName val="WWS2a"/>
      <sheetName val="WWS2a (DRAFT)"/>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RETAIL&gt;&gt;"/>
      <sheetName val="Summary (R)"/>
      <sheetName val="R1"/>
      <sheetName val="R2"/>
      <sheetName val="R3"/>
      <sheetName val="R4"/>
      <sheetName val="R5"/>
      <sheetName val="R6"/>
      <sheetName val="R7"/>
      <sheetName val="R8"/>
      <sheetName val="R9"/>
      <sheetName val="R10"/>
    </sheetNames>
    <sheetDataSet>
      <sheetData sheetId="2">
        <row r="22">
          <cell r="I22">
            <v>12</v>
          </cell>
          <cell r="N22">
            <v>12</v>
          </cell>
          <cell r="S22">
            <v>12</v>
          </cell>
          <cell r="X22">
            <v>12</v>
          </cell>
          <cell r="AC22">
            <v>12</v>
          </cell>
          <cell r="AH22">
            <v>12</v>
          </cell>
        </row>
        <row r="23">
          <cell r="I23">
            <v>234.4</v>
          </cell>
          <cell r="N23">
            <v>242.5</v>
          </cell>
          <cell r="S23">
            <v>249.5</v>
          </cell>
          <cell r="X23">
            <v>255.7</v>
          </cell>
          <cell r="AC23">
            <v>258</v>
          </cell>
          <cell r="AH23">
            <v>261.4</v>
          </cell>
          <cell r="AM23">
            <v>270.6</v>
          </cell>
        </row>
        <row r="24">
          <cell r="I24">
            <v>235.2</v>
          </cell>
          <cell r="N24">
            <v>242.4</v>
          </cell>
          <cell r="S24">
            <v>250</v>
          </cell>
          <cell r="X24">
            <v>255.9</v>
          </cell>
          <cell r="AC24">
            <v>258.5</v>
          </cell>
          <cell r="AH24">
            <v>262.1</v>
          </cell>
          <cell r="AM24">
            <v>271.7</v>
          </cell>
        </row>
        <row r="25">
          <cell r="I25">
            <v>235.2</v>
          </cell>
          <cell r="N25">
            <v>241.8</v>
          </cell>
          <cell r="S25">
            <v>249.7</v>
          </cell>
          <cell r="X25">
            <v>256.3</v>
          </cell>
          <cell r="AC25">
            <v>258.9</v>
          </cell>
          <cell r="AH25">
            <v>263.1</v>
          </cell>
          <cell r="AM25">
            <v>272.3</v>
          </cell>
        </row>
        <row r="26">
          <cell r="I26">
            <v>234.7</v>
          </cell>
          <cell r="N26">
            <v>242.1</v>
          </cell>
          <cell r="S26">
            <v>249.7</v>
          </cell>
          <cell r="X26">
            <v>256</v>
          </cell>
          <cell r="AC26">
            <v>258.6</v>
          </cell>
          <cell r="AH26">
            <v>263.4</v>
          </cell>
          <cell r="AM26">
            <v>272.9</v>
          </cell>
        </row>
        <row r="27">
          <cell r="I27">
            <v>236.1</v>
          </cell>
          <cell r="N27">
            <v>243</v>
          </cell>
          <cell r="S27">
            <v>251</v>
          </cell>
          <cell r="X27">
            <v>257</v>
          </cell>
          <cell r="AC27">
            <v>259.8</v>
          </cell>
          <cell r="AH27">
            <v>264.4</v>
          </cell>
          <cell r="AM27">
            <v>274.7</v>
          </cell>
        </row>
        <row r="28">
          <cell r="I28">
            <v>237.9</v>
          </cell>
          <cell r="N28">
            <v>244.2</v>
          </cell>
          <cell r="S28">
            <v>251.9</v>
          </cell>
          <cell r="X28">
            <v>257.6</v>
          </cell>
          <cell r="AC28">
            <v>259.6</v>
          </cell>
          <cell r="AH28">
            <v>264.9</v>
          </cell>
          <cell r="AM28">
            <v>275.1</v>
          </cell>
        </row>
        <row r="29">
          <cell r="I29">
            <v>238</v>
          </cell>
          <cell r="N29">
            <v>245.6</v>
          </cell>
          <cell r="S29">
            <v>251.9</v>
          </cell>
          <cell r="X29">
            <v>257.7</v>
          </cell>
          <cell r="AC29">
            <v>259.5</v>
          </cell>
          <cell r="AH29">
            <v>264.8</v>
          </cell>
          <cell r="AM29">
            <v>275.3</v>
          </cell>
        </row>
        <row r="30">
          <cell r="I30">
            <v>238.5</v>
          </cell>
          <cell r="N30">
            <v>245.6</v>
          </cell>
          <cell r="S30">
            <v>252.1</v>
          </cell>
          <cell r="X30">
            <v>257.1</v>
          </cell>
          <cell r="AC30">
            <v>259.8</v>
          </cell>
          <cell r="AH30">
            <v>265.5</v>
          </cell>
          <cell r="AM30">
            <v>275.8</v>
          </cell>
        </row>
        <row r="31">
          <cell r="I31">
            <v>239.4</v>
          </cell>
          <cell r="N31">
            <v>246.8</v>
          </cell>
          <cell r="S31">
            <v>253.4</v>
          </cell>
          <cell r="X31">
            <v>257.5</v>
          </cell>
          <cell r="AC31">
            <v>260.6</v>
          </cell>
          <cell r="AH31">
            <v>267.1</v>
          </cell>
          <cell r="AM31">
            <v>278.1</v>
          </cell>
        </row>
        <row r="32">
          <cell r="I32">
            <v>238</v>
          </cell>
          <cell r="N32">
            <v>245.8</v>
          </cell>
          <cell r="S32">
            <v>252.6</v>
          </cell>
          <cell r="X32">
            <v>255.4</v>
          </cell>
          <cell r="AC32">
            <v>258.8</v>
          </cell>
          <cell r="AH32">
            <v>265.5</v>
          </cell>
          <cell r="AM32">
            <v>276</v>
          </cell>
        </row>
        <row r="33">
          <cell r="I33">
            <v>239.9</v>
          </cell>
          <cell r="N33">
            <v>247.6</v>
          </cell>
          <cell r="S33">
            <v>254.2</v>
          </cell>
          <cell r="X33">
            <v>256.7</v>
          </cell>
          <cell r="AC33">
            <v>260</v>
          </cell>
          <cell r="AH33">
            <v>268.4</v>
          </cell>
          <cell r="AM33">
            <v>278.1</v>
          </cell>
        </row>
        <row r="34">
          <cell r="I34">
            <v>240.8</v>
          </cell>
          <cell r="N34">
            <v>248.7</v>
          </cell>
          <cell r="S34">
            <v>254.8</v>
          </cell>
          <cell r="X34">
            <v>257.1</v>
          </cell>
          <cell r="AC34">
            <v>261.1</v>
          </cell>
          <cell r="AH34">
            <v>269.3</v>
          </cell>
          <cell r="AM34">
            <v>278.3</v>
          </cell>
        </row>
        <row r="35">
          <cell r="I35">
            <v>12</v>
          </cell>
          <cell r="N35">
            <v>12</v>
          </cell>
          <cell r="S35">
            <v>12</v>
          </cell>
          <cell r="X35">
            <v>12</v>
          </cell>
          <cell r="AC35">
            <v>12</v>
          </cell>
          <cell r="AH35">
            <v>12</v>
          </cell>
        </row>
        <row r="36">
          <cell r="I36">
            <v>93.3</v>
          </cell>
          <cell r="N36">
            <v>95.9</v>
          </cell>
          <cell r="S36">
            <v>98</v>
          </cell>
          <cell r="X36">
            <v>99.6</v>
          </cell>
          <cell r="AC36">
            <v>99.9</v>
          </cell>
          <cell r="AH36">
            <v>100.6</v>
          </cell>
          <cell r="AM36">
            <v>103.2</v>
          </cell>
        </row>
        <row r="37">
          <cell r="I37">
            <v>93.5</v>
          </cell>
          <cell r="N37">
            <v>95.9</v>
          </cell>
          <cell r="S37">
            <v>98.2</v>
          </cell>
          <cell r="X37">
            <v>99.6</v>
          </cell>
          <cell r="AC37">
            <v>100.1</v>
          </cell>
          <cell r="AH37">
            <v>100.8</v>
          </cell>
          <cell r="AM37">
            <v>103.5</v>
          </cell>
        </row>
        <row r="38">
          <cell r="I38">
            <v>93.5</v>
          </cell>
          <cell r="N38">
            <v>95.6</v>
          </cell>
          <cell r="S38">
            <v>98</v>
          </cell>
          <cell r="X38">
            <v>99.8</v>
          </cell>
          <cell r="AC38">
            <v>100.1</v>
          </cell>
          <cell r="AH38">
            <v>101</v>
          </cell>
          <cell r="AM38">
            <v>103.5</v>
          </cell>
        </row>
        <row r="39">
          <cell r="I39">
            <v>93.5</v>
          </cell>
          <cell r="N39">
            <v>95.7</v>
          </cell>
          <cell r="S39">
            <v>98</v>
          </cell>
          <cell r="X39">
            <v>99.6</v>
          </cell>
          <cell r="AC39">
            <v>100</v>
          </cell>
          <cell r="AH39">
            <v>100.9</v>
          </cell>
          <cell r="AM39">
            <v>103.5</v>
          </cell>
        </row>
        <row r="40">
          <cell r="I40">
            <v>93.9</v>
          </cell>
          <cell r="N40">
            <v>96.1</v>
          </cell>
          <cell r="S40">
            <v>98.4</v>
          </cell>
          <cell r="X40">
            <v>99.9</v>
          </cell>
          <cell r="AC40">
            <v>100.3</v>
          </cell>
          <cell r="AH40">
            <v>101.2</v>
          </cell>
          <cell r="AM40">
            <v>104</v>
          </cell>
        </row>
        <row r="41">
          <cell r="I41">
            <v>94.5</v>
          </cell>
          <cell r="N41">
            <v>96.4</v>
          </cell>
          <cell r="S41">
            <v>98.7</v>
          </cell>
          <cell r="X41">
            <v>100</v>
          </cell>
          <cell r="AC41">
            <v>100.2</v>
          </cell>
          <cell r="AH41">
            <v>101.5</v>
          </cell>
          <cell r="AM41">
            <v>104.3</v>
          </cell>
        </row>
        <row r="42">
          <cell r="I42">
            <v>94.5</v>
          </cell>
          <cell r="N42">
            <v>96.8</v>
          </cell>
          <cell r="S42">
            <v>98.8</v>
          </cell>
          <cell r="X42">
            <v>100.1</v>
          </cell>
          <cell r="AC42">
            <v>100.3</v>
          </cell>
          <cell r="AH42">
            <v>101.6</v>
          </cell>
          <cell r="AM42">
            <v>104.4</v>
          </cell>
        </row>
        <row r="43">
          <cell r="I43">
            <v>94.7</v>
          </cell>
          <cell r="N43">
            <v>97</v>
          </cell>
          <cell r="S43">
            <v>98.8</v>
          </cell>
          <cell r="X43">
            <v>99.9</v>
          </cell>
          <cell r="AC43">
            <v>100.3</v>
          </cell>
          <cell r="AH43">
            <v>101.8</v>
          </cell>
          <cell r="AM43">
            <v>104.7</v>
          </cell>
        </row>
        <row r="44">
          <cell r="I44">
            <v>95</v>
          </cell>
          <cell r="N44">
            <v>97.3</v>
          </cell>
          <cell r="S44">
            <v>99.2</v>
          </cell>
          <cell r="X44">
            <v>99.9</v>
          </cell>
          <cell r="AC44">
            <v>100.4</v>
          </cell>
          <cell r="AH44">
            <v>102.2</v>
          </cell>
          <cell r="AM44">
            <v>105</v>
          </cell>
        </row>
        <row r="45">
          <cell r="I45">
            <v>94.7</v>
          </cell>
          <cell r="N45">
            <v>97</v>
          </cell>
          <cell r="S45">
            <v>98.7</v>
          </cell>
          <cell r="X45">
            <v>99.2</v>
          </cell>
          <cell r="AC45">
            <v>99.9</v>
          </cell>
          <cell r="AH45">
            <v>101.8</v>
          </cell>
          <cell r="AM45">
            <v>104.5</v>
          </cell>
        </row>
        <row r="46">
          <cell r="I46">
            <v>95.2</v>
          </cell>
          <cell r="N46">
            <v>97.5</v>
          </cell>
          <cell r="S46">
            <v>99.1</v>
          </cell>
          <cell r="X46">
            <v>99.5</v>
          </cell>
          <cell r="AC46">
            <v>100.1</v>
          </cell>
          <cell r="AH46">
            <v>102.4</v>
          </cell>
          <cell r="AM46">
            <v>104.9</v>
          </cell>
        </row>
        <row r="47">
          <cell r="I47">
            <v>95.4</v>
          </cell>
          <cell r="N47">
            <v>97.8</v>
          </cell>
          <cell r="S47">
            <v>99.3</v>
          </cell>
          <cell r="X47">
            <v>99.6</v>
          </cell>
          <cell r="AC47">
            <v>100.4</v>
          </cell>
          <cell r="AH47">
            <v>102.7</v>
          </cell>
          <cell r="AM47">
            <v>105.1</v>
          </cell>
        </row>
      </sheetData>
      <sheetData sheetId="5">
        <row r="2">
          <cell r="D2" t="str">
            <v>Select company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23"/>
      <sheetName val="2019 update"/>
      <sheetName val="Submission"/>
    </sheetNames>
    <sheetDataSet>
      <sheetData sheetId="1">
        <row r="80">
          <cell r="E80">
            <v>279.7</v>
          </cell>
          <cell r="L80">
            <v>105.5</v>
          </cell>
        </row>
        <row r="81">
          <cell r="E81">
            <v>280.7</v>
          </cell>
          <cell r="L81">
            <v>105.9</v>
          </cell>
        </row>
        <row r="82">
          <cell r="E82">
            <v>281.5</v>
          </cell>
          <cell r="L82">
            <v>105.9</v>
          </cell>
        </row>
        <row r="83">
          <cell r="E83">
            <v>281.7</v>
          </cell>
          <cell r="L83">
            <v>105.9</v>
          </cell>
        </row>
        <row r="84">
          <cell r="E84">
            <v>284.2</v>
          </cell>
          <cell r="L84">
            <v>106.5</v>
          </cell>
        </row>
        <row r="85">
          <cell r="E85">
            <v>284.1</v>
          </cell>
          <cell r="L85">
            <v>106.6</v>
          </cell>
        </row>
        <row r="86">
          <cell r="E86">
            <v>284.5</v>
          </cell>
          <cell r="L86">
            <v>106.7</v>
          </cell>
        </row>
        <row r="87">
          <cell r="E87">
            <v>284.6</v>
          </cell>
          <cell r="L87">
            <v>106.9</v>
          </cell>
        </row>
        <row r="88">
          <cell r="E88">
            <v>285.6</v>
          </cell>
          <cell r="L88">
            <v>107.1</v>
          </cell>
        </row>
        <row r="89">
          <cell r="E89">
            <v>283</v>
          </cell>
          <cell r="L89">
            <v>106.4</v>
          </cell>
        </row>
        <row r="90">
          <cell r="E90">
            <v>285</v>
          </cell>
          <cell r="L90">
            <v>106.8</v>
          </cell>
        </row>
        <row r="91">
          <cell r="E91">
            <v>285.1</v>
          </cell>
          <cell r="L91">
            <v>107.02332999999999</v>
          </cell>
        </row>
        <row r="92">
          <cell r="E92">
            <v>287.6</v>
          </cell>
          <cell r="L92">
            <v>107.6522</v>
          </cell>
        </row>
        <row r="93">
          <cell r="E93">
            <v>288.3</v>
          </cell>
          <cell r="L93">
            <v>107.88033</v>
          </cell>
        </row>
        <row r="94">
          <cell r="E94">
            <v>289.1</v>
          </cell>
          <cell r="L94">
            <v>107.92268999999999</v>
          </cell>
        </row>
        <row r="95">
          <cell r="E95">
            <v>289.2</v>
          </cell>
          <cell r="L95">
            <v>107.84856</v>
          </cell>
        </row>
        <row r="96">
          <cell r="E96">
            <v>291.3</v>
          </cell>
          <cell r="L96">
            <v>108.40635</v>
          </cell>
        </row>
        <row r="97">
          <cell r="E97">
            <v>291.2</v>
          </cell>
          <cell r="L97">
            <v>108.52946</v>
          </cell>
        </row>
        <row r="98">
          <cell r="E98">
            <v>291.1</v>
          </cell>
          <cell r="L98">
            <v>108.44988</v>
          </cell>
        </row>
        <row r="99">
          <cell r="E99">
            <v>291.2</v>
          </cell>
          <cell r="L99">
            <v>108.65316</v>
          </cell>
        </row>
        <row r="100">
          <cell r="E100">
            <v>292.8</v>
          </cell>
          <cell r="L100">
            <v>108.95283</v>
          </cell>
        </row>
        <row r="101">
          <cell r="E101">
            <v>290.7</v>
          </cell>
          <cell r="L101">
            <v>108.69824000000001</v>
          </cell>
        </row>
        <row r="102">
          <cell r="E102">
            <v>292.8</v>
          </cell>
          <cell r="L102">
            <v>108.88260000000001</v>
          </cell>
        </row>
        <row r="103">
          <cell r="E103">
            <v>293.2</v>
          </cell>
          <cell r="L103">
            <v>109.088880269</v>
          </cell>
        </row>
      </sheetData>
    </sheetDataSet>
  </externalBook>
</externalLink>
</file>

<file path=xl/theme/theme1.xml><?xml version="1.0" encoding="utf-8"?>
<a:theme xmlns:a="http://schemas.openxmlformats.org/drawingml/2006/main" name="Office Theme">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R19@ofwat.gsi.gov.uk"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javascript:AppendPopup(this,'785243203_2')"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A0083"/>
  </sheetPr>
  <dimension ref="B1:BK79"/>
  <sheetViews>
    <sheetView showGridLines="0" zoomScale="80" zoomScaleNormal="80" zoomScalePageLayoutView="0" workbookViewId="0" topLeftCell="B1">
      <selection activeCell="N13" sqref="N13"/>
    </sheetView>
  </sheetViews>
  <sheetFormatPr defaultColWidth="0" defaultRowHeight="12.75" zeroHeight="1"/>
  <cols>
    <col min="1" max="1" width="1.8515625" style="369" customWidth="1"/>
    <col min="2" max="2" width="7.57421875" style="369" customWidth="1"/>
    <col min="3" max="3" width="59.00390625" style="369" bestFit="1" customWidth="1"/>
    <col min="4" max="4" width="13.8515625" style="369" bestFit="1" customWidth="1"/>
    <col min="5" max="6" width="6.421875" style="369" customWidth="1"/>
    <col min="7" max="25" width="11.00390625" style="369" customWidth="1"/>
    <col min="26" max="26" width="3.00390625" style="369" customWidth="1"/>
    <col min="27" max="27" width="37.8515625" style="369" bestFit="1" customWidth="1"/>
    <col min="28" max="28" width="25.140625" style="369" bestFit="1" customWidth="1"/>
    <col min="29" max="29" width="3.00390625" style="369" customWidth="1"/>
    <col min="30" max="30" width="26.28125" style="366" customWidth="1"/>
    <col min="31" max="31" width="32.28125" style="366" bestFit="1" customWidth="1"/>
    <col min="32" max="32" width="3.421875" style="366" customWidth="1"/>
    <col min="33" max="33" width="3.00390625" style="541" hidden="1" customWidth="1"/>
    <col min="34" max="45" width="9.28125" style="541" hidden="1" customWidth="1"/>
    <col min="46" max="46" width="1.8515625" style="541" hidden="1" customWidth="1"/>
    <col min="47" max="47" width="7.00390625" style="369" hidden="1" customWidth="1"/>
    <col min="48" max="48" width="2.8515625" style="369" hidden="1" customWidth="1"/>
    <col min="49" max="49" width="11.00390625" style="369" hidden="1" customWidth="1"/>
    <col min="50" max="62" width="6.421875" style="369" hidden="1" customWidth="1"/>
    <col min="63" max="63" width="3.140625" style="369" hidden="1" customWidth="1"/>
    <col min="64" max="16384" width="11.00390625" style="369" hidden="1" customWidth="1"/>
  </cols>
  <sheetData>
    <row r="1" spans="2:63" ht="20.25">
      <c r="B1" s="362" t="s">
        <v>700</v>
      </c>
      <c r="C1" s="362"/>
      <c r="D1" s="362"/>
      <c r="E1" s="362"/>
      <c r="F1" s="362"/>
      <c r="G1" s="362"/>
      <c r="H1" s="362"/>
      <c r="I1" s="362"/>
      <c r="J1" s="362"/>
      <c r="K1" s="362"/>
      <c r="L1" s="362"/>
      <c r="M1" s="362"/>
      <c r="N1" s="362"/>
      <c r="O1" s="362"/>
      <c r="P1" s="362"/>
      <c r="Q1" s="362"/>
      <c r="R1" s="362"/>
      <c r="S1" s="362"/>
      <c r="T1" s="362"/>
      <c r="U1" s="362"/>
      <c r="V1" s="362"/>
      <c r="W1" s="362"/>
      <c r="X1" s="362"/>
      <c r="Y1" s="363" t="str">
        <f>'[1]AppValidation'!$D$2</f>
        <v>Select company</v>
      </c>
      <c r="Z1" s="364"/>
      <c r="AA1" s="593" t="s">
        <v>701</v>
      </c>
      <c r="AB1" s="593"/>
      <c r="AC1" s="593"/>
      <c r="AD1" s="593"/>
      <c r="AE1" s="365"/>
      <c r="AG1" s="367"/>
      <c r="AH1" s="368"/>
      <c r="AI1" s="368"/>
      <c r="AJ1" s="368"/>
      <c r="AK1" s="368"/>
      <c r="AL1" s="368"/>
      <c r="AM1" s="368"/>
      <c r="AN1" s="368"/>
      <c r="AO1" s="368"/>
      <c r="AP1" s="368"/>
      <c r="AQ1" s="368"/>
      <c r="AR1" s="368"/>
      <c r="AS1" s="368"/>
      <c r="AT1" s="367"/>
      <c r="AV1" s="367"/>
      <c r="AW1" s="368"/>
      <c r="AX1" s="368"/>
      <c r="AY1" s="368"/>
      <c r="AZ1" s="368"/>
      <c r="BA1" s="368"/>
      <c r="BB1" s="368"/>
      <c r="BC1" s="368"/>
      <c r="BD1" s="368"/>
      <c r="BE1" s="368"/>
      <c r="BF1" s="368"/>
      <c r="BG1" s="368"/>
      <c r="BH1" s="368"/>
      <c r="BI1" s="368"/>
      <c r="BJ1" s="368"/>
      <c r="BK1" s="367"/>
    </row>
    <row r="2" spans="2:63" ht="15" thickBot="1">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G2" s="367"/>
      <c r="AH2" s="368"/>
      <c r="AI2" s="368"/>
      <c r="AJ2" s="368"/>
      <c r="AK2" s="368"/>
      <c r="AL2" s="368"/>
      <c r="AM2" s="368"/>
      <c r="AN2" s="368"/>
      <c r="AO2" s="368"/>
      <c r="AP2" s="368"/>
      <c r="AQ2" s="368"/>
      <c r="AR2" s="368"/>
      <c r="AS2" s="368"/>
      <c r="AT2" s="367"/>
      <c r="AV2" s="367"/>
      <c r="AW2" s="368"/>
      <c r="AX2" s="368"/>
      <c r="AY2" s="368"/>
      <c r="AZ2" s="368"/>
      <c r="BA2" s="368"/>
      <c r="BB2" s="368"/>
      <c r="BC2" s="368"/>
      <c r="BD2" s="368"/>
      <c r="BE2" s="368"/>
      <c r="BF2" s="368"/>
      <c r="BG2" s="368"/>
      <c r="BH2" s="368"/>
      <c r="BI2" s="368"/>
      <c r="BJ2" s="368"/>
      <c r="BK2" s="367"/>
    </row>
    <row r="3" spans="2:63" ht="15" thickBot="1">
      <c r="B3" s="594" t="s">
        <v>702</v>
      </c>
      <c r="C3" s="595"/>
      <c r="D3" s="371" t="s">
        <v>703</v>
      </c>
      <c r="E3" s="372" t="s">
        <v>704</v>
      </c>
      <c r="F3" s="373" t="s">
        <v>705</v>
      </c>
      <c r="G3" s="374" t="s">
        <v>433</v>
      </c>
      <c r="H3" s="372" t="s">
        <v>434</v>
      </c>
      <c r="I3" s="372" t="s">
        <v>435</v>
      </c>
      <c r="J3" s="374" t="s">
        <v>436</v>
      </c>
      <c r="K3" s="375" t="s">
        <v>437</v>
      </c>
      <c r="L3" s="372" t="s">
        <v>438</v>
      </c>
      <c r="M3" s="372" t="s">
        <v>439</v>
      </c>
      <c r="N3" s="372" t="s">
        <v>440</v>
      </c>
      <c r="O3" s="374" t="s">
        <v>441</v>
      </c>
      <c r="P3" s="375" t="s">
        <v>462</v>
      </c>
      <c r="Q3" s="372" t="s">
        <v>706</v>
      </c>
      <c r="R3" s="372" t="s">
        <v>707</v>
      </c>
      <c r="S3" s="372" t="s">
        <v>708</v>
      </c>
      <c r="T3" s="374" t="s">
        <v>709</v>
      </c>
      <c r="U3" s="375" t="s">
        <v>710</v>
      </c>
      <c r="V3" s="374" t="s">
        <v>711</v>
      </c>
      <c r="W3" s="374" t="s">
        <v>712</v>
      </c>
      <c r="X3" s="374" t="s">
        <v>713</v>
      </c>
      <c r="Y3" s="373" t="s">
        <v>714</v>
      </c>
      <c r="Z3" s="370"/>
      <c r="AA3" s="376" t="s">
        <v>715</v>
      </c>
      <c r="AB3" s="377" t="s">
        <v>716</v>
      </c>
      <c r="AD3" s="378" t="s">
        <v>717</v>
      </c>
      <c r="AE3" s="379" t="s">
        <v>718</v>
      </c>
      <c r="AG3" s="367"/>
      <c r="AH3" s="368"/>
      <c r="AI3" s="368"/>
      <c r="AJ3" s="368"/>
      <c r="AK3" s="368"/>
      <c r="AL3" s="368"/>
      <c r="AM3" s="368"/>
      <c r="AN3" s="368"/>
      <c r="AO3" s="368"/>
      <c r="AP3" s="368"/>
      <c r="AQ3" s="368"/>
      <c r="AR3" s="368"/>
      <c r="AS3" s="368"/>
      <c r="AT3" s="367"/>
      <c r="AV3" s="367"/>
      <c r="AW3" s="368"/>
      <c r="AX3" s="368"/>
      <c r="AY3" s="368"/>
      <c r="AZ3" s="368"/>
      <c r="BA3" s="368"/>
      <c r="BB3" s="368"/>
      <c r="BC3" s="368"/>
      <c r="BD3" s="368"/>
      <c r="BE3" s="368"/>
      <c r="BF3" s="368"/>
      <c r="BG3" s="368"/>
      <c r="BH3" s="368"/>
      <c r="BI3" s="368"/>
      <c r="BJ3" s="368"/>
      <c r="BK3" s="367"/>
    </row>
    <row r="4" spans="2:63" ht="15" thickBot="1">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D4" s="380"/>
      <c r="AE4" s="381"/>
      <c r="AG4" s="367"/>
      <c r="AH4" s="596" t="s">
        <v>719</v>
      </c>
      <c r="AI4" s="596"/>
      <c r="AJ4" s="596"/>
      <c r="AK4" s="596"/>
      <c r="AL4" s="596"/>
      <c r="AM4" s="596"/>
      <c r="AN4" s="596"/>
      <c r="AO4" s="596"/>
      <c r="AP4" s="596"/>
      <c r="AQ4" s="596"/>
      <c r="AR4" s="596"/>
      <c r="AS4" s="596"/>
      <c r="AT4" s="367"/>
      <c r="AV4" s="367"/>
      <c r="AW4" s="596" t="s">
        <v>720</v>
      </c>
      <c r="AX4" s="596"/>
      <c r="AY4" s="596"/>
      <c r="AZ4" s="596"/>
      <c r="BA4" s="596"/>
      <c r="BB4" s="596"/>
      <c r="BC4" s="596"/>
      <c r="BD4" s="596"/>
      <c r="BE4" s="596"/>
      <c r="BF4" s="596"/>
      <c r="BG4" s="596"/>
      <c r="BH4" s="596"/>
      <c r="BI4" s="596"/>
      <c r="BJ4" s="596"/>
      <c r="BK4" s="367"/>
    </row>
    <row r="5" spans="2:63" ht="15" thickBot="1">
      <c r="B5" s="382" t="s">
        <v>721</v>
      </c>
      <c r="C5" s="383" t="s">
        <v>116</v>
      </c>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G5" s="367"/>
      <c r="AH5" s="384" t="s">
        <v>722</v>
      </c>
      <c r="AI5" s="385"/>
      <c r="AJ5" s="385"/>
      <c r="AK5" s="385"/>
      <c r="AL5" s="385"/>
      <c r="AM5" s="385"/>
      <c r="AN5" s="385"/>
      <c r="AO5" s="385"/>
      <c r="AP5" s="385"/>
      <c r="AQ5" s="385"/>
      <c r="AR5" s="385"/>
      <c r="AS5" s="385"/>
      <c r="AT5" s="367"/>
      <c r="AV5" s="367"/>
      <c r="AW5" s="384" t="s">
        <v>723</v>
      </c>
      <c r="AX5" s="385"/>
      <c r="AY5" s="385"/>
      <c r="AZ5" s="385"/>
      <c r="BB5" s="385"/>
      <c r="BC5" s="385"/>
      <c r="BD5" s="386"/>
      <c r="BE5" s="385"/>
      <c r="BF5" s="385"/>
      <c r="BG5" s="385"/>
      <c r="BH5" s="385"/>
      <c r="BI5" s="385"/>
      <c r="BJ5" s="385"/>
      <c r="BK5" s="367"/>
    </row>
    <row r="6" spans="2:63" ht="14.25">
      <c r="B6" s="387">
        <v>1</v>
      </c>
      <c r="C6" s="388" t="s">
        <v>724</v>
      </c>
      <c r="D6" s="389" t="s">
        <v>725</v>
      </c>
      <c r="E6" s="389" t="s">
        <v>443</v>
      </c>
      <c r="F6" s="390">
        <v>0</v>
      </c>
      <c r="G6" s="391">
        <f>'[1]F_Inputs'!I22</f>
        <v>12</v>
      </c>
      <c r="H6" s="392">
        <f>'[1]F_Inputs'!N22</f>
        <v>12</v>
      </c>
      <c r="I6" s="392">
        <f>'[1]F_Inputs'!S22</f>
        <v>12</v>
      </c>
      <c r="J6" s="392">
        <f>'[1]F_Inputs'!X22</f>
        <v>12</v>
      </c>
      <c r="K6" s="392">
        <f>'[1]F_Inputs'!AC22</f>
        <v>12</v>
      </c>
      <c r="L6" s="392">
        <f>'[1]F_Inputs'!AH22</f>
        <v>12</v>
      </c>
      <c r="M6" s="393">
        <f aca="true" t="shared" si="0" ref="M6:Y6">COUNT(M7:M18)</f>
        <v>12</v>
      </c>
      <c r="N6" s="394">
        <f t="shared" si="0"/>
        <v>12</v>
      </c>
      <c r="O6" s="395">
        <f t="shared" si="0"/>
        <v>12</v>
      </c>
      <c r="P6" s="396">
        <f t="shared" si="0"/>
        <v>12</v>
      </c>
      <c r="Q6" s="394">
        <f t="shared" si="0"/>
        <v>12</v>
      </c>
      <c r="R6" s="394">
        <f t="shared" si="0"/>
        <v>12</v>
      </c>
      <c r="S6" s="394">
        <f t="shared" si="0"/>
        <v>12</v>
      </c>
      <c r="T6" s="397">
        <f t="shared" si="0"/>
        <v>12</v>
      </c>
      <c r="U6" s="398">
        <f t="shared" si="0"/>
        <v>12</v>
      </c>
      <c r="V6" s="394">
        <f t="shared" si="0"/>
        <v>12</v>
      </c>
      <c r="W6" s="394">
        <f t="shared" si="0"/>
        <v>12</v>
      </c>
      <c r="X6" s="394">
        <f t="shared" si="0"/>
        <v>12</v>
      </c>
      <c r="Y6" s="397">
        <f t="shared" si="0"/>
        <v>12</v>
      </c>
      <c r="Z6" s="370"/>
      <c r="AA6" s="399" t="s">
        <v>726</v>
      </c>
      <c r="AB6" s="400" t="s">
        <v>727</v>
      </c>
      <c r="AD6" s="401"/>
      <c r="AE6" s="401">
        <f>IF(SUM(AX6:BJ6)=0,0,$AW$5)</f>
        <v>0</v>
      </c>
      <c r="AG6" s="367"/>
      <c r="AH6" s="385"/>
      <c r="AI6" s="385"/>
      <c r="AJ6" s="385"/>
      <c r="AK6" s="385"/>
      <c r="AL6" s="385"/>
      <c r="AM6" s="385"/>
      <c r="AN6" s="385"/>
      <c r="AO6" s="385"/>
      <c r="AP6" s="385"/>
      <c r="AQ6" s="385"/>
      <c r="AR6" s="385"/>
      <c r="AS6" s="385"/>
      <c r="AT6" s="367"/>
      <c r="AV6" s="367"/>
      <c r="AW6" s="385"/>
      <c r="AX6" s="402">
        <f>IF(M6=12,0,1)</f>
        <v>0</v>
      </c>
      <c r="AY6" s="402">
        <f aca="true" t="shared" si="1" ref="AY6:BI6">IF(N6=12,0,1)</f>
        <v>0</v>
      </c>
      <c r="AZ6" s="402">
        <f t="shared" si="1"/>
        <v>0</v>
      </c>
      <c r="BA6" s="402">
        <f t="shared" si="1"/>
        <v>0</v>
      </c>
      <c r="BB6" s="402">
        <f t="shared" si="1"/>
        <v>0</v>
      </c>
      <c r="BC6" s="402">
        <f t="shared" si="1"/>
        <v>0</v>
      </c>
      <c r="BD6" s="402">
        <f t="shared" si="1"/>
        <v>0</v>
      </c>
      <c r="BE6" s="402">
        <f t="shared" si="1"/>
        <v>0</v>
      </c>
      <c r="BF6" s="402">
        <f t="shared" si="1"/>
        <v>0</v>
      </c>
      <c r="BG6" s="402">
        <f t="shared" si="1"/>
        <v>0</v>
      </c>
      <c r="BH6" s="402">
        <f t="shared" si="1"/>
        <v>0</v>
      </c>
      <c r="BI6" s="402">
        <f t="shared" si="1"/>
        <v>0</v>
      </c>
      <c r="BJ6" s="402">
        <f>IF(Y6=12,0,1)</f>
        <v>0</v>
      </c>
      <c r="BK6" s="367"/>
    </row>
    <row r="7" spans="2:63" ht="14.25">
      <c r="B7" s="403">
        <v>2</v>
      </c>
      <c r="C7" s="404" t="s">
        <v>728</v>
      </c>
      <c r="D7" s="405" t="s">
        <v>445</v>
      </c>
      <c r="E7" s="405" t="s">
        <v>443</v>
      </c>
      <c r="F7" s="406">
        <v>1</v>
      </c>
      <c r="G7" s="407">
        <f>'[1]F_Inputs'!I23</f>
        <v>234.4</v>
      </c>
      <c r="H7" s="408">
        <f>'[1]F_Inputs'!N23</f>
        <v>242.5</v>
      </c>
      <c r="I7" s="408">
        <f>'[1]F_Inputs'!S23</f>
        <v>249.5</v>
      </c>
      <c r="J7" s="408">
        <f>'[1]F_Inputs'!X23</f>
        <v>255.7</v>
      </c>
      <c r="K7" s="408">
        <f>'[1]F_Inputs'!AC23</f>
        <v>258</v>
      </c>
      <c r="L7" s="408">
        <f>'[1]F_Inputs'!AH23</f>
        <v>261.4</v>
      </c>
      <c r="M7" s="408">
        <f>'[1]F_Inputs'!AM23</f>
        <v>270.6</v>
      </c>
      <c r="N7" s="409">
        <f>'[2]2019 update'!E80</f>
        <v>279.7</v>
      </c>
      <c r="O7" s="410">
        <f>'[2]2019 update'!E92</f>
        <v>287.6</v>
      </c>
      <c r="P7" s="411">
        <f>O7*(1+P$52)</f>
        <v>296.228</v>
      </c>
      <c r="Q7" s="409">
        <f aca="true" t="shared" si="2" ref="Q7:Y7">P7*(1+Q$52)</f>
        <v>305.11484</v>
      </c>
      <c r="R7" s="409">
        <f t="shared" si="2"/>
        <v>314.26828520000004</v>
      </c>
      <c r="S7" s="409">
        <f t="shared" si="2"/>
        <v>323.69633375600006</v>
      </c>
      <c r="T7" s="412">
        <f t="shared" si="2"/>
        <v>333.40722376868007</v>
      </c>
      <c r="U7" s="413">
        <f t="shared" si="2"/>
        <v>343.4094404817405</v>
      </c>
      <c r="V7" s="409">
        <f t="shared" si="2"/>
        <v>353.71172369619273</v>
      </c>
      <c r="W7" s="409">
        <f t="shared" si="2"/>
        <v>364.32307540707853</v>
      </c>
      <c r="X7" s="409">
        <f t="shared" si="2"/>
        <v>375.2527676692909</v>
      </c>
      <c r="Y7" s="412">
        <f t="shared" si="2"/>
        <v>386.51035069936967</v>
      </c>
      <c r="Z7" s="370"/>
      <c r="AA7" s="414"/>
      <c r="AB7" s="415"/>
      <c r="AD7" s="401">
        <f>IF(SUM(AH7:AS7)=0,0,$AH$5)</f>
        <v>0</v>
      </c>
      <c r="AE7" s="401"/>
      <c r="AG7" s="367"/>
      <c r="AH7" s="402">
        <f aca="true" t="shared" si="3" ref="AH7:AS18">IF(ISNUMBER(N7),0,1)</f>
        <v>0</v>
      </c>
      <c r="AI7" s="402">
        <f t="shared" si="3"/>
        <v>0</v>
      </c>
      <c r="AJ7" s="402">
        <f t="shared" si="3"/>
        <v>0</v>
      </c>
      <c r="AK7" s="402">
        <f t="shared" si="3"/>
        <v>0</v>
      </c>
      <c r="AL7" s="402">
        <f t="shared" si="3"/>
        <v>0</v>
      </c>
      <c r="AM7" s="402">
        <f t="shared" si="3"/>
        <v>0</v>
      </c>
      <c r="AN7" s="402">
        <f t="shared" si="3"/>
        <v>0</v>
      </c>
      <c r="AO7" s="402">
        <f t="shared" si="3"/>
        <v>0</v>
      </c>
      <c r="AP7" s="402">
        <f t="shared" si="3"/>
        <v>0</v>
      </c>
      <c r="AQ7" s="402">
        <f t="shared" si="3"/>
        <v>0</v>
      </c>
      <c r="AR7" s="402">
        <f t="shared" si="3"/>
        <v>0</v>
      </c>
      <c r="AS7" s="402">
        <f t="shared" si="3"/>
        <v>0</v>
      </c>
      <c r="AT7" s="367"/>
      <c r="AV7" s="367"/>
      <c r="AW7" s="385"/>
      <c r="AX7" s="385"/>
      <c r="AY7" s="385"/>
      <c r="AZ7" s="385"/>
      <c r="BA7" s="385"/>
      <c r="BB7" s="385"/>
      <c r="BC7" s="385"/>
      <c r="BD7" s="385"/>
      <c r="BE7" s="385"/>
      <c r="BF7" s="385"/>
      <c r="BG7" s="385"/>
      <c r="BH7" s="385"/>
      <c r="BI7" s="385"/>
      <c r="BJ7" s="385"/>
      <c r="BK7" s="367"/>
    </row>
    <row r="8" spans="2:63" ht="14.25">
      <c r="B8" s="403">
        <v>3</v>
      </c>
      <c r="C8" s="416" t="s">
        <v>729</v>
      </c>
      <c r="D8" s="417" t="s">
        <v>446</v>
      </c>
      <c r="E8" s="417" t="s">
        <v>443</v>
      </c>
      <c r="F8" s="418">
        <v>1</v>
      </c>
      <c r="G8" s="407">
        <f>'[1]F_Inputs'!I24</f>
        <v>235.2</v>
      </c>
      <c r="H8" s="408">
        <f>'[1]F_Inputs'!N24</f>
        <v>242.4</v>
      </c>
      <c r="I8" s="408">
        <f>'[1]F_Inputs'!S24</f>
        <v>250</v>
      </c>
      <c r="J8" s="408">
        <f>'[1]F_Inputs'!X24</f>
        <v>255.9</v>
      </c>
      <c r="K8" s="408">
        <f>'[1]F_Inputs'!AC24</f>
        <v>258.5</v>
      </c>
      <c r="L8" s="408">
        <f>'[1]F_Inputs'!AH24</f>
        <v>262.1</v>
      </c>
      <c r="M8" s="408">
        <f>'[1]F_Inputs'!AM24</f>
        <v>271.7</v>
      </c>
      <c r="N8" s="409">
        <f>'[2]2019 update'!E81</f>
        <v>280.7</v>
      </c>
      <c r="O8" s="410">
        <f>'[2]2019 update'!E93</f>
        <v>288.3</v>
      </c>
      <c r="P8" s="411">
        <f aca="true" t="shared" si="4" ref="P8:Y18">O8*(1+P$52)</f>
        <v>296.949</v>
      </c>
      <c r="Q8" s="409">
        <f t="shared" si="4"/>
        <v>305.85747000000003</v>
      </c>
      <c r="R8" s="409">
        <f t="shared" si="4"/>
        <v>315.03319410000006</v>
      </c>
      <c r="S8" s="409">
        <f t="shared" si="4"/>
        <v>324.4841899230001</v>
      </c>
      <c r="T8" s="412">
        <f t="shared" si="4"/>
        <v>334.2187156206901</v>
      </c>
      <c r="U8" s="413">
        <f t="shared" si="4"/>
        <v>344.2452770893108</v>
      </c>
      <c r="V8" s="409">
        <f t="shared" si="4"/>
        <v>354.5726354019901</v>
      </c>
      <c r="W8" s="409">
        <f t="shared" si="4"/>
        <v>365.2098144640498</v>
      </c>
      <c r="X8" s="409">
        <f t="shared" si="4"/>
        <v>376.16610889797136</v>
      </c>
      <c r="Y8" s="412">
        <f t="shared" si="4"/>
        <v>387.4510921649105</v>
      </c>
      <c r="Z8" s="370"/>
      <c r="AA8" s="419"/>
      <c r="AB8" s="420"/>
      <c r="AD8" s="401">
        <f aca="true" t="shared" si="5" ref="AD8:AD18">IF(SUM(AH8:AS8)=0,0,$AH$5)</f>
        <v>0</v>
      </c>
      <c r="AE8" s="401"/>
      <c r="AG8" s="367"/>
      <c r="AH8" s="402">
        <f t="shared" si="3"/>
        <v>0</v>
      </c>
      <c r="AI8" s="402">
        <f t="shared" si="3"/>
        <v>0</v>
      </c>
      <c r="AJ8" s="402">
        <f t="shared" si="3"/>
        <v>0</v>
      </c>
      <c r="AK8" s="402">
        <f t="shared" si="3"/>
        <v>0</v>
      </c>
      <c r="AL8" s="402">
        <f t="shared" si="3"/>
        <v>0</v>
      </c>
      <c r="AM8" s="402">
        <f t="shared" si="3"/>
        <v>0</v>
      </c>
      <c r="AN8" s="402">
        <f t="shared" si="3"/>
        <v>0</v>
      </c>
      <c r="AO8" s="402">
        <f t="shared" si="3"/>
        <v>0</v>
      </c>
      <c r="AP8" s="402">
        <f t="shared" si="3"/>
        <v>0</v>
      </c>
      <c r="AQ8" s="402">
        <f t="shared" si="3"/>
        <v>0</v>
      </c>
      <c r="AR8" s="402">
        <f t="shared" si="3"/>
        <v>0</v>
      </c>
      <c r="AS8" s="402">
        <f t="shared" si="3"/>
        <v>0</v>
      </c>
      <c r="AT8" s="367"/>
      <c r="AV8" s="367"/>
      <c r="AW8" s="385"/>
      <c r="AX8" s="385"/>
      <c r="AY8" s="385"/>
      <c r="AZ8" s="385"/>
      <c r="BA8" s="385"/>
      <c r="BB8" s="385"/>
      <c r="BC8" s="385"/>
      <c r="BD8" s="385"/>
      <c r="BE8" s="385"/>
      <c r="BF8" s="385"/>
      <c r="BG8" s="385"/>
      <c r="BH8" s="385"/>
      <c r="BI8" s="385"/>
      <c r="BJ8" s="385"/>
      <c r="BK8" s="367"/>
    </row>
    <row r="9" spans="2:63" ht="14.25">
      <c r="B9" s="403">
        <v>4</v>
      </c>
      <c r="C9" s="421" t="s">
        <v>730</v>
      </c>
      <c r="D9" s="422" t="s">
        <v>447</v>
      </c>
      <c r="E9" s="422" t="s">
        <v>443</v>
      </c>
      <c r="F9" s="423">
        <v>1</v>
      </c>
      <c r="G9" s="407">
        <f>'[1]F_Inputs'!I25</f>
        <v>235.2</v>
      </c>
      <c r="H9" s="408">
        <f>'[1]F_Inputs'!N25</f>
        <v>241.8</v>
      </c>
      <c r="I9" s="408">
        <f>'[1]F_Inputs'!S25</f>
        <v>249.7</v>
      </c>
      <c r="J9" s="408">
        <f>'[1]F_Inputs'!X25</f>
        <v>256.3</v>
      </c>
      <c r="K9" s="408">
        <f>'[1]F_Inputs'!AC25</f>
        <v>258.9</v>
      </c>
      <c r="L9" s="408">
        <f>'[1]F_Inputs'!AH25</f>
        <v>263.1</v>
      </c>
      <c r="M9" s="408">
        <f>'[1]F_Inputs'!AM25</f>
        <v>272.3</v>
      </c>
      <c r="N9" s="409">
        <f>'[2]2019 update'!E82</f>
        <v>281.5</v>
      </c>
      <c r="O9" s="410">
        <f>'[2]2019 update'!E94</f>
        <v>289.1</v>
      </c>
      <c r="P9" s="411">
        <f t="shared" si="4"/>
        <v>297.773</v>
      </c>
      <c r="Q9" s="409">
        <f t="shared" si="4"/>
        <v>306.70619000000005</v>
      </c>
      <c r="R9" s="409">
        <f t="shared" si="4"/>
        <v>315.90737570000005</v>
      </c>
      <c r="S9" s="409">
        <f t="shared" si="4"/>
        <v>325.38459697100006</v>
      </c>
      <c r="T9" s="412">
        <f t="shared" si="4"/>
        <v>335.1461348801301</v>
      </c>
      <c r="U9" s="413">
        <f t="shared" si="4"/>
        <v>345.200518926534</v>
      </c>
      <c r="V9" s="409">
        <f t="shared" si="4"/>
        <v>355.55653449433004</v>
      </c>
      <c r="W9" s="409">
        <f t="shared" si="4"/>
        <v>366.22323052915993</v>
      </c>
      <c r="X9" s="409">
        <f t="shared" si="4"/>
        <v>377.20992744503474</v>
      </c>
      <c r="Y9" s="412">
        <f t="shared" si="4"/>
        <v>388.5262252683858</v>
      </c>
      <c r="Z9" s="370"/>
      <c r="AA9" s="419"/>
      <c r="AB9" s="420"/>
      <c r="AD9" s="401">
        <f t="shared" si="5"/>
        <v>0</v>
      </c>
      <c r="AE9" s="401"/>
      <c r="AG9" s="367"/>
      <c r="AH9" s="402">
        <f t="shared" si="3"/>
        <v>0</v>
      </c>
      <c r="AI9" s="402">
        <f t="shared" si="3"/>
        <v>0</v>
      </c>
      <c r="AJ9" s="402">
        <f t="shared" si="3"/>
        <v>0</v>
      </c>
      <c r="AK9" s="402">
        <f t="shared" si="3"/>
        <v>0</v>
      </c>
      <c r="AL9" s="402">
        <f t="shared" si="3"/>
        <v>0</v>
      </c>
      <c r="AM9" s="402">
        <f t="shared" si="3"/>
        <v>0</v>
      </c>
      <c r="AN9" s="402">
        <f t="shared" si="3"/>
        <v>0</v>
      </c>
      <c r="AO9" s="402">
        <f t="shared" si="3"/>
        <v>0</v>
      </c>
      <c r="AP9" s="402">
        <f t="shared" si="3"/>
        <v>0</v>
      </c>
      <c r="AQ9" s="402">
        <f t="shared" si="3"/>
        <v>0</v>
      </c>
      <c r="AR9" s="402">
        <f t="shared" si="3"/>
        <v>0</v>
      </c>
      <c r="AS9" s="402">
        <f t="shared" si="3"/>
        <v>0</v>
      </c>
      <c r="AT9" s="367"/>
      <c r="AV9" s="367"/>
      <c r="AW9" s="385"/>
      <c r="AX9" s="385"/>
      <c r="AY9" s="385"/>
      <c r="AZ9" s="385"/>
      <c r="BA9" s="385"/>
      <c r="BB9" s="385"/>
      <c r="BC9" s="385"/>
      <c r="BD9" s="385"/>
      <c r="BE9" s="385"/>
      <c r="BF9" s="385"/>
      <c r="BG9" s="385"/>
      <c r="BH9" s="385"/>
      <c r="BI9" s="385"/>
      <c r="BJ9" s="385"/>
      <c r="BK9" s="367"/>
    </row>
    <row r="10" spans="2:63" ht="14.25">
      <c r="B10" s="403">
        <v>5</v>
      </c>
      <c r="C10" s="421" t="s">
        <v>731</v>
      </c>
      <c r="D10" s="422" t="s">
        <v>448</v>
      </c>
      <c r="E10" s="422" t="s">
        <v>443</v>
      </c>
      <c r="F10" s="423">
        <v>1</v>
      </c>
      <c r="G10" s="407">
        <f>'[1]F_Inputs'!I26</f>
        <v>234.7</v>
      </c>
      <c r="H10" s="408">
        <f>'[1]F_Inputs'!N26</f>
        <v>242.1</v>
      </c>
      <c r="I10" s="408">
        <f>'[1]F_Inputs'!S26</f>
        <v>249.7</v>
      </c>
      <c r="J10" s="408">
        <f>'[1]F_Inputs'!X26</f>
        <v>256</v>
      </c>
      <c r="K10" s="408">
        <f>'[1]F_Inputs'!AC26</f>
        <v>258.6</v>
      </c>
      <c r="L10" s="408">
        <f>'[1]F_Inputs'!AH26</f>
        <v>263.4</v>
      </c>
      <c r="M10" s="408">
        <f>'[1]F_Inputs'!AM26</f>
        <v>272.9</v>
      </c>
      <c r="N10" s="409">
        <f>'[2]2019 update'!E83</f>
        <v>281.7</v>
      </c>
      <c r="O10" s="410">
        <f>'[2]2019 update'!E95</f>
        <v>289.2</v>
      </c>
      <c r="P10" s="411">
        <f t="shared" si="4"/>
        <v>297.876</v>
      </c>
      <c r="Q10" s="409">
        <f t="shared" si="4"/>
        <v>306.81228</v>
      </c>
      <c r="R10" s="409">
        <f t="shared" si="4"/>
        <v>316.0166484</v>
      </c>
      <c r="S10" s="409">
        <f t="shared" si="4"/>
        <v>325.497147852</v>
      </c>
      <c r="T10" s="412">
        <f t="shared" si="4"/>
        <v>335.26206228756</v>
      </c>
      <c r="U10" s="413">
        <f t="shared" si="4"/>
        <v>345.3199241561868</v>
      </c>
      <c r="V10" s="409">
        <f t="shared" si="4"/>
        <v>355.6795218808724</v>
      </c>
      <c r="W10" s="409">
        <f t="shared" si="4"/>
        <v>366.3499075372986</v>
      </c>
      <c r="X10" s="409">
        <f t="shared" si="4"/>
        <v>377.34040476341755</v>
      </c>
      <c r="Y10" s="412">
        <f t="shared" si="4"/>
        <v>388.6606169063201</v>
      </c>
      <c r="Z10" s="370"/>
      <c r="AA10" s="419"/>
      <c r="AB10" s="420"/>
      <c r="AD10" s="401">
        <f t="shared" si="5"/>
        <v>0</v>
      </c>
      <c r="AE10" s="401"/>
      <c r="AG10" s="367"/>
      <c r="AH10" s="402">
        <f t="shared" si="3"/>
        <v>0</v>
      </c>
      <c r="AI10" s="402">
        <f t="shared" si="3"/>
        <v>0</v>
      </c>
      <c r="AJ10" s="402">
        <f t="shared" si="3"/>
        <v>0</v>
      </c>
      <c r="AK10" s="402">
        <f t="shared" si="3"/>
        <v>0</v>
      </c>
      <c r="AL10" s="402">
        <f t="shared" si="3"/>
        <v>0</v>
      </c>
      <c r="AM10" s="402">
        <f t="shared" si="3"/>
        <v>0</v>
      </c>
      <c r="AN10" s="402">
        <f t="shared" si="3"/>
        <v>0</v>
      </c>
      <c r="AO10" s="402">
        <f t="shared" si="3"/>
        <v>0</v>
      </c>
      <c r="AP10" s="402">
        <f t="shared" si="3"/>
        <v>0</v>
      </c>
      <c r="AQ10" s="402">
        <f t="shared" si="3"/>
        <v>0</v>
      </c>
      <c r="AR10" s="402">
        <f t="shared" si="3"/>
        <v>0</v>
      </c>
      <c r="AS10" s="402">
        <f t="shared" si="3"/>
        <v>0</v>
      </c>
      <c r="AT10" s="367"/>
      <c r="AV10" s="367"/>
      <c r="AW10" s="385"/>
      <c r="AX10" s="385"/>
      <c r="AY10" s="385"/>
      <c r="AZ10" s="385"/>
      <c r="BA10" s="385"/>
      <c r="BB10" s="385"/>
      <c r="BC10" s="385"/>
      <c r="BD10" s="385"/>
      <c r="BE10" s="385"/>
      <c r="BF10" s="385"/>
      <c r="BG10" s="385"/>
      <c r="BH10" s="385"/>
      <c r="BI10" s="385"/>
      <c r="BJ10" s="385"/>
      <c r="BK10" s="367"/>
    </row>
    <row r="11" spans="2:63" ht="14.25">
      <c r="B11" s="403">
        <v>6</v>
      </c>
      <c r="C11" s="421" t="s">
        <v>186</v>
      </c>
      <c r="D11" s="422" t="s">
        <v>449</v>
      </c>
      <c r="E11" s="422" t="s">
        <v>443</v>
      </c>
      <c r="F11" s="423">
        <v>1</v>
      </c>
      <c r="G11" s="407">
        <f>'[1]F_Inputs'!I27</f>
        <v>236.1</v>
      </c>
      <c r="H11" s="408">
        <f>'[1]F_Inputs'!N27</f>
        <v>243</v>
      </c>
      <c r="I11" s="408">
        <f>'[1]F_Inputs'!S27</f>
        <v>251</v>
      </c>
      <c r="J11" s="408">
        <f>'[1]F_Inputs'!X27</f>
        <v>257</v>
      </c>
      <c r="K11" s="408">
        <f>'[1]F_Inputs'!AC27</f>
        <v>259.8</v>
      </c>
      <c r="L11" s="408">
        <f>'[1]F_Inputs'!AH27</f>
        <v>264.4</v>
      </c>
      <c r="M11" s="408">
        <f>'[1]F_Inputs'!AM27</f>
        <v>274.7</v>
      </c>
      <c r="N11" s="409">
        <f>'[2]2019 update'!E84</f>
        <v>284.2</v>
      </c>
      <c r="O11" s="410">
        <f>'[2]2019 update'!E96</f>
        <v>291.3</v>
      </c>
      <c r="P11" s="411">
        <f t="shared" si="4"/>
        <v>300.03900000000004</v>
      </c>
      <c r="Q11" s="409">
        <f t="shared" si="4"/>
        <v>309.04017000000005</v>
      </c>
      <c r="R11" s="409">
        <f t="shared" si="4"/>
        <v>318.3113751000001</v>
      </c>
      <c r="S11" s="409">
        <f t="shared" si="4"/>
        <v>327.8607163530001</v>
      </c>
      <c r="T11" s="412">
        <f t="shared" si="4"/>
        <v>337.69653784359014</v>
      </c>
      <c r="U11" s="413">
        <f t="shared" si="4"/>
        <v>347.82743397889783</v>
      </c>
      <c r="V11" s="409">
        <f t="shared" si="4"/>
        <v>358.2622569982648</v>
      </c>
      <c r="W11" s="409">
        <f t="shared" si="4"/>
        <v>369.01012470821274</v>
      </c>
      <c r="X11" s="409">
        <f t="shared" si="4"/>
        <v>380.08042844945913</v>
      </c>
      <c r="Y11" s="412">
        <f t="shared" si="4"/>
        <v>391.4828413029429</v>
      </c>
      <c r="Z11" s="370"/>
      <c r="AA11" s="419"/>
      <c r="AB11" s="420"/>
      <c r="AD11" s="401">
        <f t="shared" si="5"/>
        <v>0</v>
      </c>
      <c r="AE11" s="401"/>
      <c r="AG11" s="367"/>
      <c r="AH11" s="402">
        <f t="shared" si="3"/>
        <v>0</v>
      </c>
      <c r="AI11" s="402">
        <f t="shared" si="3"/>
        <v>0</v>
      </c>
      <c r="AJ11" s="402">
        <f t="shared" si="3"/>
        <v>0</v>
      </c>
      <c r="AK11" s="402">
        <f t="shared" si="3"/>
        <v>0</v>
      </c>
      <c r="AL11" s="402">
        <f t="shared" si="3"/>
        <v>0</v>
      </c>
      <c r="AM11" s="402">
        <f t="shared" si="3"/>
        <v>0</v>
      </c>
      <c r="AN11" s="402">
        <f t="shared" si="3"/>
        <v>0</v>
      </c>
      <c r="AO11" s="402">
        <f t="shared" si="3"/>
        <v>0</v>
      </c>
      <c r="AP11" s="402">
        <f t="shared" si="3"/>
        <v>0</v>
      </c>
      <c r="AQ11" s="402">
        <f t="shared" si="3"/>
        <v>0</v>
      </c>
      <c r="AR11" s="402">
        <f t="shared" si="3"/>
        <v>0</v>
      </c>
      <c r="AS11" s="402">
        <f t="shared" si="3"/>
        <v>0</v>
      </c>
      <c r="AT11" s="367"/>
      <c r="AV11" s="367"/>
      <c r="AW11" s="385"/>
      <c r="AX11" s="385"/>
      <c r="AY11" s="385"/>
      <c r="AZ11" s="385"/>
      <c r="BA11" s="385"/>
      <c r="BB11" s="385"/>
      <c r="BC11" s="385"/>
      <c r="BD11" s="385"/>
      <c r="BE11" s="385"/>
      <c r="BF11" s="385"/>
      <c r="BG11" s="385"/>
      <c r="BH11" s="385"/>
      <c r="BI11" s="385"/>
      <c r="BJ11" s="385"/>
      <c r="BK11" s="367"/>
    </row>
    <row r="12" spans="2:63" ht="14.25">
      <c r="B12" s="403">
        <v>7</v>
      </c>
      <c r="C12" s="421" t="s">
        <v>187</v>
      </c>
      <c r="D12" s="422" t="s">
        <v>450</v>
      </c>
      <c r="E12" s="422" t="s">
        <v>443</v>
      </c>
      <c r="F12" s="423">
        <v>1</v>
      </c>
      <c r="G12" s="407">
        <f>'[1]F_Inputs'!I28</f>
        <v>237.9</v>
      </c>
      <c r="H12" s="408">
        <f>'[1]F_Inputs'!N28</f>
        <v>244.2</v>
      </c>
      <c r="I12" s="408">
        <f>'[1]F_Inputs'!S28</f>
        <v>251.9</v>
      </c>
      <c r="J12" s="408">
        <f>'[1]F_Inputs'!X28</f>
        <v>257.6</v>
      </c>
      <c r="K12" s="408">
        <f>'[1]F_Inputs'!AC28</f>
        <v>259.6</v>
      </c>
      <c r="L12" s="408">
        <f>'[1]F_Inputs'!AH28</f>
        <v>264.9</v>
      </c>
      <c r="M12" s="408">
        <f>'[1]F_Inputs'!AM28</f>
        <v>275.1</v>
      </c>
      <c r="N12" s="409">
        <f>'[2]2019 update'!E85</f>
        <v>284.1</v>
      </c>
      <c r="O12" s="410">
        <f>'[2]2019 update'!E97</f>
        <v>291.2</v>
      </c>
      <c r="P12" s="411">
        <f t="shared" si="4"/>
        <v>299.936</v>
      </c>
      <c r="Q12" s="409">
        <f t="shared" si="4"/>
        <v>308.93408</v>
      </c>
      <c r="R12" s="409">
        <f t="shared" si="4"/>
        <v>318.2021024</v>
      </c>
      <c r="S12" s="409">
        <f t="shared" si="4"/>
        <v>327.748165472</v>
      </c>
      <c r="T12" s="412">
        <f t="shared" si="4"/>
        <v>337.58061043616</v>
      </c>
      <c r="U12" s="413">
        <f t="shared" si="4"/>
        <v>347.7080287492448</v>
      </c>
      <c r="V12" s="409">
        <f t="shared" si="4"/>
        <v>358.13926961172217</v>
      </c>
      <c r="W12" s="409">
        <f t="shared" si="4"/>
        <v>368.8834477000739</v>
      </c>
      <c r="X12" s="409">
        <f t="shared" si="4"/>
        <v>379.9499511310761</v>
      </c>
      <c r="Y12" s="412">
        <f t="shared" si="4"/>
        <v>391.3484496650084</v>
      </c>
      <c r="Z12" s="370"/>
      <c r="AA12" s="419"/>
      <c r="AB12" s="420"/>
      <c r="AD12" s="401">
        <f t="shared" si="5"/>
        <v>0</v>
      </c>
      <c r="AE12" s="401"/>
      <c r="AG12" s="367"/>
      <c r="AH12" s="402">
        <f t="shared" si="3"/>
        <v>0</v>
      </c>
      <c r="AI12" s="402">
        <f t="shared" si="3"/>
        <v>0</v>
      </c>
      <c r="AJ12" s="402">
        <f t="shared" si="3"/>
        <v>0</v>
      </c>
      <c r="AK12" s="402">
        <f t="shared" si="3"/>
        <v>0</v>
      </c>
      <c r="AL12" s="402">
        <f t="shared" si="3"/>
        <v>0</v>
      </c>
      <c r="AM12" s="402">
        <f t="shared" si="3"/>
        <v>0</v>
      </c>
      <c r="AN12" s="402">
        <f t="shared" si="3"/>
        <v>0</v>
      </c>
      <c r="AO12" s="402">
        <f t="shared" si="3"/>
        <v>0</v>
      </c>
      <c r="AP12" s="402">
        <f t="shared" si="3"/>
        <v>0</v>
      </c>
      <c r="AQ12" s="402">
        <f t="shared" si="3"/>
        <v>0</v>
      </c>
      <c r="AR12" s="402">
        <f t="shared" si="3"/>
        <v>0</v>
      </c>
      <c r="AS12" s="402">
        <f t="shared" si="3"/>
        <v>0</v>
      </c>
      <c r="AT12" s="367"/>
      <c r="AV12" s="367"/>
      <c r="AW12" s="385"/>
      <c r="AX12" s="385"/>
      <c r="AY12" s="385"/>
      <c r="AZ12" s="385"/>
      <c r="BA12" s="385"/>
      <c r="BB12" s="385"/>
      <c r="BC12" s="424"/>
      <c r="BD12" s="385"/>
      <c r="BE12" s="385"/>
      <c r="BF12" s="385"/>
      <c r="BG12" s="385"/>
      <c r="BH12" s="385"/>
      <c r="BI12" s="385"/>
      <c r="BJ12" s="385"/>
      <c r="BK12" s="367"/>
    </row>
    <row r="13" spans="2:63" ht="14.25">
      <c r="B13" s="403">
        <v>8</v>
      </c>
      <c r="C13" s="421" t="s">
        <v>188</v>
      </c>
      <c r="D13" s="422" t="s">
        <v>451</v>
      </c>
      <c r="E13" s="422" t="s">
        <v>443</v>
      </c>
      <c r="F13" s="423">
        <v>1</v>
      </c>
      <c r="G13" s="407">
        <f>'[1]F_Inputs'!I29</f>
        <v>238</v>
      </c>
      <c r="H13" s="408">
        <f>'[1]F_Inputs'!N29</f>
        <v>245.6</v>
      </c>
      <c r="I13" s="408">
        <f>'[1]F_Inputs'!S29</f>
        <v>251.9</v>
      </c>
      <c r="J13" s="408">
        <f>'[1]F_Inputs'!X29</f>
        <v>257.7</v>
      </c>
      <c r="K13" s="408">
        <f>'[1]F_Inputs'!AC29</f>
        <v>259.5</v>
      </c>
      <c r="L13" s="408">
        <f>'[1]F_Inputs'!AH29</f>
        <v>264.8</v>
      </c>
      <c r="M13" s="408">
        <f>'[1]F_Inputs'!AM29</f>
        <v>275.3</v>
      </c>
      <c r="N13" s="409">
        <f>'[2]2019 update'!E86</f>
        <v>284.5</v>
      </c>
      <c r="O13" s="410">
        <f>'[2]2019 update'!E98</f>
        <v>291.1</v>
      </c>
      <c r="P13" s="411">
        <f t="shared" si="4"/>
        <v>299.833</v>
      </c>
      <c r="Q13" s="409">
        <f t="shared" si="4"/>
        <v>308.82799000000006</v>
      </c>
      <c r="R13" s="409">
        <f t="shared" si="4"/>
        <v>318.09282970000004</v>
      </c>
      <c r="S13" s="409">
        <f t="shared" si="4"/>
        <v>327.63561459100004</v>
      </c>
      <c r="T13" s="412">
        <f t="shared" si="4"/>
        <v>337.46468302873006</v>
      </c>
      <c r="U13" s="413">
        <f t="shared" si="4"/>
        <v>347.588623519592</v>
      </c>
      <c r="V13" s="409">
        <f t="shared" si="4"/>
        <v>358.01628222517974</v>
      </c>
      <c r="W13" s="409">
        <f t="shared" si="4"/>
        <v>368.7567706919351</v>
      </c>
      <c r="X13" s="409">
        <f t="shared" si="4"/>
        <v>379.81947381269316</v>
      </c>
      <c r="Y13" s="412">
        <f t="shared" si="4"/>
        <v>391.214058027074</v>
      </c>
      <c r="Z13" s="370"/>
      <c r="AA13" s="419"/>
      <c r="AB13" s="420"/>
      <c r="AD13" s="401">
        <f t="shared" si="5"/>
        <v>0</v>
      </c>
      <c r="AE13" s="401"/>
      <c r="AG13" s="367"/>
      <c r="AH13" s="402">
        <f t="shared" si="3"/>
        <v>0</v>
      </c>
      <c r="AI13" s="402">
        <f t="shared" si="3"/>
        <v>0</v>
      </c>
      <c r="AJ13" s="402">
        <f t="shared" si="3"/>
        <v>0</v>
      </c>
      <c r="AK13" s="402">
        <f t="shared" si="3"/>
        <v>0</v>
      </c>
      <c r="AL13" s="402">
        <f t="shared" si="3"/>
        <v>0</v>
      </c>
      <c r="AM13" s="402">
        <f t="shared" si="3"/>
        <v>0</v>
      </c>
      <c r="AN13" s="402">
        <f t="shared" si="3"/>
        <v>0</v>
      </c>
      <c r="AO13" s="402">
        <f t="shared" si="3"/>
        <v>0</v>
      </c>
      <c r="AP13" s="402">
        <f t="shared" si="3"/>
        <v>0</v>
      </c>
      <c r="AQ13" s="402">
        <f t="shared" si="3"/>
        <v>0</v>
      </c>
      <c r="AR13" s="402">
        <f t="shared" si="3"/>
        <v>0</v>
      </c>
      <c r="AS13" s="402">
        <f t="shared" si="3"/>
        <v>0</v>
      </c>
      <c r="AT13" s="367"/>
      <c r="AV13" s="367"/>
      <c r="AW13" s="385"/>
      <c r="AX13" s="385"/>
      <c r="AY13" s="385"/>
      <c r="AZ13" s="385"/>
      <c r="BA13" s="385"/>
      <c r="BB13" s="385"/>
      <c r="BC13" s="385"/>
      <c r="BD13" s="385"/>
      <c r="BE13" s="385"/>
      <c r="BF13" s="385"/>
      <c r="BG13" s="385"/>
      <c r="BH13" s="385"/>
      <c r="BI13" s="385"/>
      <c r="BJ13" s="385"/>
      <c r="BK13" s="367"/>
    </row>
    <row r="14" spans="2:63" ht="14.25">
      <c r="B14" s="403">
        <v>9</v>
      </c>
      <c r="C14" s="421" t="s">
        <v>732</v>
      </c>
      <c r="D14" s="422" t="s">
        <v>452</v>
      </c>
      <c r="E14" s="422" t="s">
        <v>443</v>
      </c>
      <c r="F14" s="423">
        <v>1</v>
      </c>
      <c r="G14" s="407">
        <f>'[1]F_Inputs'!I30</f>
        <v>238.5</v>
      </c>
      <c r="H14" s="408">
        <f>'[1]F_Inputs'!N30</f>
        <v>245.6</v>
      </c>
      <c r="I14" s="408">
        <f>'[1]F_Inputs'!S30</f>
        <v>252.1</v>
      </c>
      <c r="J14" s="408">
        <f>'[1]F_Inputs'!X30</f>
        <v>257.1</v>
      </c>
      <c r="K14" s="408">
        <f>'[1]F_Inputs'!AC30</f>
        <v>259.8</v>
      </c>
      <c r="L14" s="408">
        <f>'[1]F_Inputs'!AH30</f>
        <v>265.5</v>
      </c>
      <c r="M14" s="408">
        <f>'[1]F_Inputs'!AM30</f>
        <v>275.8</v>
      </c>
      <c r="N14" s="409">
        <f>'[2]2019 update'!E87</f>
        <v>284.6</v>
      </c>
      <c r="O14" s="410">
        <f>'[2]2019 update'!E99</f>
        <v>291.2</v>
      </c>
      <c r="P14" s="411">
        <f t="shared" si="4"/>
        <v>299.936</v>
      </c>
      <c r="Q14" s="409">
        <f t="shared" si="4"/>
        <v>308.93408</v>
      </c>
      <c r="R14" s="409">
        <f t="shared" si="4"/>
        <v>318.2021024</v>
      </c>
      <c r="S14" s="409">
        <f t="shared" si="4"/>
        <v>327.748165472</v>
      </c>
      <c r="T14" s="412">
        <f t="shared" si="4"/>
        <v>337.58061043616</v>
      </c>
      <c r="U14" s="413">
        <f t="shared" si="4"/>
        <v>347.7080287492448</v>
      </c>
      <c r="V14" s="409">
        <f t="shared" si="4"/>
        <v>358.13926961172217</v>
      </c>
      <c r="W14" s="409">
        <f t="shared" si="4"/>
        <v>368.8834477000739</v>
      </c>
      <c r="X14" s="409">
        <f t="shared" si="4"/>
        <v>379.9499511310761</v>
      </c>
      <c r="Y14" s="412">
        <f t="shared" si="4"/>
        <v>391.3484496650084</v>
      </c>
      <c r="Z14" s="370"/>
      <c r="AA14" s="419"/>
      <c r="AB14" s="420"/>
      <c r="AD14" s="401">
        <f t="shared" si="5"/>
        <v>0</v>
      </c>
      <c r="AE14" s="401"/>
      <c r="AG14" s="367"/>
      <c r="AH14" s="402">
        <f t="shared" si="3"/>
        <v>0</v>
      </c>
      <c r="AI14" s="402">
        <f t="shared" si="3"/>
        <v>0</v>
      </c>
      <c r="AJ14" s="402">
        <f t="shared" si="3"/>
        <v>0</v>
      </c>
      <c r="AK14" s="402">
        <f t="shared" si="3"/>
        <v>0</v>
      </c>
      <c r="AL14" s="402">
        <f t="shared" si="3"/>
        <v>0</v>
      </c>
      <c r="AM14" s="402">
        <f t="shared" si="3"/>
        <v>0</v>
      </c>
      <c r="AN14" s="402">
        <f t="shared" si="3"/>
        <v>0</v>
      </c>
      <c r="AO14" s="402">
        <f t="shared" si="3"/>
        <v>0</v>
      </c>
      <c r="AP14" s="402">
        <f t="shared" si="3"/>
        <v>0</v>
      </c>
      <c r="AQ14" s="402">
        <f t="shared" si="3"/>
        <v>0</v>
      </c>
      <c r="AR14" s="402">
        <f t="shared" si="3"/>
        <v>0</v>
      </c>
      <c r="AS14" s="402">
        <f t="shared" si="3"/>
        <v>0</v>
      </c>
      <c r="AT14" s="367"/>
      <c r="AV14" s="367"/>
      <c r="AW14" s="385"/>
      <c r="AX14" s="385"/>
      <c r="AY14" s="385"/>
      <c r="AZ14" s="385"/>
      <c r="BA14" s="385"/>
      <c r="BB14" s="385"/>
      <c r="BC14" s="385"/>
      <c r="BD14" s="385"/>
      <c r="BE14" s="385"/>
      <c r="BF14" s="385"/>
      <c r="BG14" s="385"/>
      <c r="BH14" s="385"/>
      <c r="BI14" s="385"/>
      <c r="BJ14" s="385"/>
      <c r="BK14" s="367"/>
    </row>
    <row r="15" spans="2:63" ht="14.25">
      <c r="B15" s="403">
        <v>10</v>
      </c>
      <c r="C15" s="421" t="s">
        <v>733</v>
      </c>
      <c r="D15" s="422" t="s">
        <v>453</v>
      </c>
      <c r="E15" s="422" t="s">
        <v>443</v>
      </c>
      <c r="F15" s="423">
        <v>1</v>
      </c>
      <c r="G15" s="407">
        <f>'[1]F_Inputs'!I31</f>
        <v>239.4</v>
      </c>
      <c r="H15" s="408">
        <f>'[1]F_Inputs'!N31</f>
        <v>246.8</v>
      </c>
      <c r="I15" s="408">
        <f>'[1]F_Inputs'!S31</f>
        <v>253.4</v>
      </c>
      <c r="J15" s="408">
        <f>'[1]F_Inputs'!X31</f>
        <v>257.5</v>
      </c>
      <c r="K15" s="408">
        <f>'[1]F_Inputs'!AC31</f>
        <v>260.6</v>
      </c>
      <c r="L15" s="408">
        <f>'[1]F_Inputs'!AH31</f>
        <v>267.1</v>
      </c>
      <c r="M15" s="408">
        <f>'[1]F_Inputs'!AM31</f>
        <v>278.1</v>
      </c>
      <c r="N15" s="409">
        <f>'[2]2019 update'!E88</f>
        <v>285.6</v>
      </c>
      <c r="O15" s="410">
        <f>'[2]2019 update'!E100</f>
        <v>292.8</v>
      </c>
      <c r="P15" s="411">
        <f t="shared" si="4"/>
        <v>301.584</v>
      </c>
      <c r="Q15" s="409">
        <f t="shared" si="4"/>
        <v>310.63152</v>
      </c>
      <c r="R15" s="409">
        <f t="shared" si="4"/>
        <v>319.95046560000003</v>
      </c>
      <c r="S15" s="409">
        <f t="shared" si="4"/>
        <v>329.54897956800005</v>
      </c>
      <c r="T15" s="412">
        <f t="shared" si="4"/>
        <v>339.43544895504004</v>
      </c>
      <c r="U15" s="413">
        <f t="shared" si="4"/>
        <v>349.61851242369124</v>
      </c>
      <c r="V15" s="409">
        <f t="shared" si="4"/>
        <v>360.10706779640196</v>
      </c>
      <c r="W15" s="409">
        <f t="shared" si="4"/>
        <v>370.91027983029403</v>
      </c>
      <c r="X15" s="409">
        <f t="shared" si="4"/>
        <v>382.03758822520285</v>
      </c>
      <c r="Y15" s="412">
        <f t="shared" si="4"/>
        <v>393.49871587195895</v>
      </c>
      <c r="Z15" s="370"/>
      <c r="AA15" s="419"/>
      <c r="AB15" s="420"/>
      <c r="AD15" s="401">
        <f t="shared" si="5"/>
        <v>0</v>
      </c>
      <c r="AE15" s="401"/>
      <c r="AG15" s="367"/>
      <c r="AH15" s="402">
        <f t="shared" si="3"/>
        <v>0</v>
      </c>
      <c r="AI15" s="402">
        <f t="shared" si="3"/>
        <v>0</v>
      </c>
      <c r="AJ15" s="402">
        <f t="shared" si="3"/>
        <v>0</v>
      </c>
      <c r="AK15" s="402">
        <f t="shared" si="3"/>
        <v>0</v>
      </c>
      <c r="AL15" s="402">
        <f t="shared" si="3"/>
        <v>0</v>
      </c>
      <c r="AM15" s="402">
        <f t="shared" si="3"/>
        <v>0</v>
      </c>
      <c r="AN15" s="402">
        <f t="shared" si="3"/>
        <v>0</v>
      </c>
      <c r="AO15" s="402">
        <f t="shared" si="3"/>
        <v>0</v>
      </c>
      <c r="AP15" s="402">
        <f t="shared" si="3"/>
        <v>0</v>
      </c>
      <c r="AQ15" s="402">
        <f t="shared" si="3"/>
        <v>0</v>
      </c>
      <c r="AR15" s="402">
        <f t="shared" si="3"/>
        <v>0</v>
      </c>
      <c r="AS15" s="402">
        <f t="shared" si="3"/>
        <v>0</v>
      </c>
      <c r="AT15" s="367"/>
      <c r="AV15" s="367"/>
      <c r="AW15" s="385"/>
      <c r="AX15" s="385"/>
      <c r="AY15" s="385"/>
      <c r="AZ15" s="385"/>
      <c r="BA15" s="385"/>
      <c r="BB15" s="385"/>
      <c r="BC15" s="385"/>
      <c r="BD15" s="385"/>
      <c r="BE15" s="385"/>
      <c r="BF15" s="385"/>
      <c r="BG15" s="385"/>
      <c r="BH15" s="385"/>
      <c r="BI15" s="385"/>
      <c r="BJ15" s="385"/>
      <c r="BK15" s="367"/>
    </row>
    <row r="16" spans="2:63" ht="14.25">
      <c r="B16" s="403">
        <v>11</v>
      </c>
      <c r="C16" s="421" t="s">
        <v>734</v>
      </c>
      <c r="D16" s="422" t="s">
        <v>454</v>
      </c>
      <c r="E16" s="422" t="s">
        <v>443</v>
      </c>
      <c r="F16" s="423">
        <v>1</v>
      </c>
      <c r="G16" s="407">
        <f>'[1]F_Inputs'!I32</f>
        <v>238</v>
      </c>
      <c r="H16" s="408">
        <f>'[1]F_Inputs'!N32</f>
        <v>245.8</v>
      </c>
      <c r="I16" s="408">
        <f>'[1]F_Inputs'!S32</f>
        <v>252.6</v>
      </c>
      <c r="J16" s="408">
        <f>'[1]F_Inputs'!X32</f>
        <v>255.4</v>
      </c>
      <c r="K16" s="408">
        <f>'[1]F_Inputs'!AC32</f>
        <v>258.8</v>
      </c>
      <c r="L16" s="408">
        <f>'[1]F_Inputs'!AH32</f>
        <v>265.5</v>
      </c>
      <c r="M16" s="408">
        <f>'[1]F_Inputs'!AM32</f>
        <v>276</v>
      </c>
      <c r="N16" s="409">
        <f>'[2]2019 update'!E89</f>
        <v>283</v>
      </c>
      <c r="O16" s="410">
        <f>'[2]2019 update'!E101</f>
        <v>290.7</v>
      </c>
      <c r="P16" s="411">
        <f t="shared" si="4"/>
        <v>299.421</v>
      </c>
      <c r="Q16" s="409">
        <f t="shared" si="4"/>
        <v>308.40363</v>
      </c>
      <c r="R16" s="409">
        <f t="shared" si="4"/>
        <v>317.6557389</v>
      </c>
      <c r="S16" s="409">
        <f t="shared" si="4"/>
        <v>327.185411067</v>
      </c>
      <c r="T16" s="412">
        <f t="shared" si="4"/>
        <v>337.00097339901004</v>
      </c>
      <c r="U16" s="413">
        <f t="shared" si="4"/>
        <v>347.1110026009803</v>
      </c>
      <c r="V16" s="409">
        <f t="shared" si="4"/>
        <v>357.5243326790098</v>
      </c>
      <c r="W16" s="409">
        <f t="shared" si="4"/>
        <v>368.2500626593801</v>
      </c>
      <c r="X16" s="409">
        <f t="shared" si="4"/>
        <v>379.2975645391615</v>
      </c>
      <c r="Y16" s="412">
        <f t="shared" si="4"/>
        <v>390.6764914753364</v>
      </c>
      <c r="Z16" s="370"/>
      <c r="AA16" s="419"/>
      <c r="AB16" s="420"/>
      <c r="AD16" s="401">
        <f t="shared" si="5"/>
        <v>0</v>
      </c>
      <c r="AE16" s="401"/>
      <c r="AG16" s="367"/>
      <c r="AH16" s="402">
        <f t="shared" si="3"/>
        <v>0</v>
      </c>
      <c r="AI16" s="402">
        <f t="shared" si="3"/>
        <v>0</v>
      </c>
      <c r="AJ16" s="402">
        <f t="shared" si="3"/>
        <v>0</v>
      </c>
      <c r="AK16" s="402">
        <f t="shared" si="3"/>
        <v>0</v>
      </c>
      <c r="AL16" s="402">
        <f t="shared" si="3"/>
        <v>0</v>
      </c>
      <c r="AM16" s="402">
        <f t="shared" si="3"/>
        <v>0</v>
      </c>
      <c r="AN16" s="402">
        <f t="shared" si="3"/>
        <v>0</v>
      </c>
      <c r="AO16" s="402">
        <f t="shared" si="3"/>
        <v>0</v>
      </c>
      <c r="AP16" s="402">
        <f t="shared" si="3"/>
        <v>0</v>
      </c>
      <c r="AQ16" s="402">
        <f t="shared" si="3"/>
        <v>0</v>
      </c>
      <c r="AR16" s="402">
        <f t="shared" si="3"/>
        <v>0</v>
      </c>
      <c r="AS16" s="402">
        <f t="shared" si="3"/>
        <v>0</v>
      </c>
      <c r="AT16" s="367"/>
      <c r="AV16" s="367"/>
      <c r="AW16" s="385"/>
      <c r="AX16" s="385"/>
      <c r="AY16" s="385"/>
      <c r="AZ16" s="385"/>
      <c r="BA16" s="385"/>
      <c r="BB16" s="385"/>
      <c r="BC16" s="385"/>
      <c r="BD16" s="385"/>
      <c r="BE16" s="385"/>
      <c r="BF16" s="385"/>
      <c r="BG16" s="385"/>
      <c r="BH16" s="385"/>
      <c r="BI16" s="385"/>
      <c r="BJ16" s="385"/>
      <c r="BK16" s="367"/>
    </row>
    <row r="17" spans="2:63" ht="14.25">
      <c r="B17" s="403">
        <v>12</v>
      </c>
      <c r="C17" s="421" t="s">
        <v>735</v>
      </c>
      <c r="D17" s="422" t="s">
        <v>455</v>
      </c>
      <c r="E17" s="422" t="s">
        <v>443</v>
      </c>
      <c r="F17" s="423">
        <v>1</v>
      </c>
      <c r="G17" s="407">
        <f>'[1]F_Inputs'!I33</f>
        <v>239.9</v>
      </c>
      <c r="H17" s="408">
        <f>'[1]F_Inputs'!N33</f>
        <v>247.6</v>
      </c>
      <c r="I17" s="408">
        <f>'[1]F_Inputs'!S33</f>
        <v>254.2</v>
      </c>
      <c r="J17" s="408">
        <f>'[1]F_Inputs'!X33</f>
        <v>256.7</v>
      </c>
      <c r="K17" s="408">
        <f>'[1]F_Inputs'!AC33</f>
        <v>260</v>
      </c>
      <c r="L17" s="408">
        <f>'[1]F_Inputs'!AH33</f>
        <v>268.4</v>
      </c>
      <c r="M17" s="408">
        <f>'[1]F_Inputs'!AM33</f>
        <v>278.1</v>
      </c>
      <c r="N17" s="409">
        <f>'[2]2019 update'!E90</f>
        <v>285</v>
      </c>
      <c r="O17" s="410">
        <f>'[2]2019 update'!E102</f>
        <v>292.8</v>
      </c>
      <c r="P17" s="411">
        <f t="shared" si="4"/>
        <v>301.584</v>
      </c>
      <c r="Q17" s="409">
        <f t="shared" si="4"/>
        <v>310.63152</v>
      </c>
      <c r="R17" s="409">
        <f t="shared" si="4"/>
        <v>319.95046560000003</v>
      </c>
      <c r="S17" s="409">
        <f t="shared" si="4"/>
        <v>329.54897956800005</v>
      </c>
      <c r="T17" s="412">
        <f t="shared" si="4"/>
        <v>339.43544895504004</v>
      </c>
      <c r="U17" s="413">
        <f t="shared" si="4"/>
        <v>349.61851242369124</v>
      </c>
      <c r="V17" s="409">
        <f t="shared" si="4"/>
        <v>360.10706779640196</v>
      </c>
      <c r="W17" s="409">
        <f t="shared" si="4"/>
        <v>370.91027983029403</v>
      </c>
      <c r="X17" s="409">
        <f t="shared" si="4"/>
        <v>382.03758822520285</v>
      </c>
      <c r="Y17" s="412">
        <f t="shared" si="4"/>
        <v>393.49871587195895</v>
      </c>
      <c r="Z17" s="370"/>
      <c r="AA17" s="419"/>
      <c r="AB17" s="420"/>
      <c r="AD17" s="401">
        <f t="shared" si="5"/>
        <v>0</v>
      </c>
      <c r="AE17" s="401"/>
      <c r="AG17" s="367"/>
      <c r="AH17" s="402">
        <f t="shared" si="3"/>
        <v>0</v>
      </c>
      <c r="AI17" s="402">
        <f t="shared" si="3"/>
        <v>0</v>
      </c>
      <c r="AJ17" s="402">
        <f t="shared" si="3"/>
        <v>0</v>
      </c>
      <c r="AK17" s="402">
        <f t="shared" si="3"/>
        <v>0</v>
      </c>
      <c r="AL17" s="402">
        <f t="shared" si="3"/>
        <v>0</v>
      </c>
      <c r="AM17" s="402">
        <f t="shared" si="3"/>
        <v>0</v>
      </c>
      <c r="AN17" s="402">
        <f t="shared" si="3"/>
        <v>0</v>
      </c>
      <c r="AO17" s="402">
        <f t="shared" si="3"/>
        <v>0</v>
      </c>
      <c r="AP17" s="402">
        <f t="shared" si="3"/>
        <v>0</v>
      </c>
      <c r="AQ17" s="402">
        <f t="shared" si="3"/>
        <v>0</v>
      </c>
      <c r="AR17" s="402">
        <f t="shared" si="3"/>
        <v>0</v>
      </c>
      <c r="AS17" s="402">
        <f t="shared" si="3"/>
        <v>0</v>
      </c>
      <c r="AT17" s="367"/>
      <c r="AV17" s="367"/>
      <c r="AW17" s="385"/>
      <c r="AX17" s="385"/>
      <c r="AY17" s="385"/>
      <c r="AZ17" s="385"/>
      <c r="BA17" s="385"/>
      <c r="BB17" s="385"/>
      <c r="BC17" s="385"/>
      <c r="BD17" s="385"/>
      <c r="BE17" s="385"/>
      <c r="BF17" s="385"/>
      <c r="BG17" s="385"/>
      <c r="BH17" s="385"/>
      <c r="BI17" s="385"/>
      <c r="BJ17" s="385"/>
      <c r="BK17" s="367"/>
    </row>
    <row r="18" spans="2:63" ht="15" thickBot="1">
      <c r="B18" s="425">
        <v>13</v>
      </c>
      <c r="C18" s="426" t="s">
        <v>736</v>
      </c>
      <c r="D18" s="427" t="s">
        <v>456</v>
      </c>
      <c r="E18" s="427" t="s">
        <v>443</v>
      </c>
      <c r="F18" s="428">
        <v>1</v>
      </c>
      <c r="G18" s="429">
        <f>'[1]F_Inputs'!I34</f>
        <v>240.8</v>
      </c>
      <c r="H18" s="430">
        <f>'[1]F_Inputs'!N34</f>
        <v>248.7</v>
      </c>
      <c r="I18" s="430">
        <f>'[1]F_Inputs'!S34</f>
        <v>254.8</v>
      </c>
      <c r="J18" s="430">
        <f>'[1]F_Inputs'!X34</f>
        <v>257.1</v>
      </c>
      <c r="K18" s="430">
        <f>'[1]F_Inputs'!AC34</f>
        <v>261.1</v>
      </c>
      <c r="L18" s="430">
        <f>'[1]F_Inputs'!AH34</f>
        <v>269.3</v>
      </c>
      <c r="M18" s="430">
        <f>'[1]F_Inputs'!AM34</f>
        <v>278.3</v>
      </c>
      <c r="N18" s="409">
        <f>'[2]2019 update'!E91</f>
        <v>285.1</v>
      </c>
      <c r="O18" s="410">
        <f>'[2]2019 update'!E103</f>
        <v>293.2</v>
      </c>
      <c r="P18" s="431">
        <f t="shared" si="4"/>
        <v>301.996</v>
      </c>
      <c r="Q18" s="432">
        <f t="shared" si="4"/>
        <v>311.05588</v>
      </c>
      <c r="R18" s="432">
        <f t="shared" si="4"/>
        <v>320.3875564</v>
      </c>
      <c r="S18" s="432">
        <f t="shared" si="4"/>
        <v>329.999183092</v>
      </c>
      <c r="T18" s="433">
        <f t="shared" si="4"/>
        <v>339.89915858476</v>
      </c>
      <c r="U18" s="434">
        <f t="shared" si="4"/>
        <v>350.09613334230283</v>
      </c>
      <c r="V18" s="432">
        <f t="shared" si="4"/>
        <v>360.5990173425719</v>
      </c>
      <c r="W18" s="432">
        <f t="shared" si="4"/>
        <v>371.4169878628491</v>
      </c>
      <c r="X18" s="432">
        <f t="shared" si="4"/>
        <v>382.5594974987346</v>
      </c>
      <c r="Y18" s="433">
        <f t="shared" si="4"/>
        <v>394.0362824236966</v>
      </c>
      <c r="Z18" s="370"/>
      <c r="AA18" s="435"/>
      <c r="AB18" s="436"/>
      <c r="AD18" s="401">
        <f t="shared" si="5"/>
        <v>0</v>
      </c>
      <c r="AE18" s="401"/>
      <c r="AG18" s="367"/>
      <c r="AH18" s="402">
        <f t="shared" si="3"/>
        <v>0</v>
      </c>
      <c r="AI18" s="402">
        <f t="shared" si="3"/>
        <v>0</v>
      </c>
      <c r="AJ18" s="402">
        <f t="shared" si="3"/>
        <v>0</v>
      </c>
      <c r="AK18" s="402">
        <f t="shared" si="3"/>
        <v>0</v>
      </c>
      <c r="AL18" s="402">
        <f t="shared" si="3"/>
        <v>0</v>
      </c>
      <c r="AM18" s="402">
        <f t="shared" si="3"/>
        <v>0</v>
      </c>
      <c r="AN18" s="402">
        <f t="shared" si="3"/>
        <v>0</v>
      </c>
      <c r="AO18" s="402">
        <f t="shared" si="3"/>
        <v>0</v>
      </c>
      <c r="AP18" s="402">
        <f t="shared" si="3"/>
        <v>0</v>
      </c>
      <c r="AQ18" s="402">
        <f t="shared" si="3"/>
        <v>0</v>
      </c>
      <c r="AR18" s="402">
        <f t="shared" si="3"/>
        <v>0</v>
      </c>
      <c r="AS18" s="402">
        <f t="shared" si="3"/>
        <v>0</v>
      </c>
      <c r="AT18" s="367"/>
      <c r="AV18" s="367"/>
      <c r="AW18" s="386"/>
      <c r="AX18" s="385"/>
      <c r="AY18" s="385"/>
      <c r="AZ18" s="385"/>
      <c r="BA18" s="385"/>
      <c r="BB18" s="385"/>
      <c r="BC18" s="385"/>
      <c r="BD18" s="385"/>
      <c r="BE18" s="385"/>
      <c r="BF18" s="385"/>
      <c r="BG18" s="385"/>
      <c r="BH18" s="385"/>
      <c r="BI18" s="385"/>
      <c r="BJ18" s="385"/>
      <c r="BK18" s="367"/>
    </row>
    <row r="19" spans="2:63" ht="15" thickBot="1">
      <c r="B19" s="370"/>
      <c r="C19" s="370"/>
      <c r="D19" s="370"/>
      <c r="E19" s="370"/>
      <c r="F19" s="370"/>
      <c r="G19" s="370"/>
      <c r="H19" s="370"/>
      <c r="I19" s="370"/>
      <c r="J19" s="370"/>
      <c r="K19" s="370"/>
      <c r="L19" s="370"/>
      <c r="M19" s="437"/>
      <c r="N19" s="438"/>
      <c r="O19" s="437"/>
      <c r="P19" s="437"/>
      <c r="Q19" s="437"/>
      <c r="R19" s="437"/>
      <c r="S19" s="437"/>
      <c r="T19" s="437"/>
      <c r="U19" s="437"/>
      <c r="V19" s="437"/>
      <c r="W19" s="437"/>
      <c r="X19" s="437"/>
      <c r="Y19" s="437"/>
      <c r="Z19" s="370"/>
      <c r="AA19" s="439"/>
      <c r="AB19" s="439"/>
      <c r="AD19" s="401"/>
      <c r="AE19" s="401"/>
      <c r="AG19" s="367"/>
      <c r="AH19" s="385"/>
      <c r="AI19" s="385"/>
      <c r="AJ19" s="385"/>
      <c r="AK19" s="385"/>
      <c r="AL19" s="385"/>
      <c r="AM19" s="385"/>
      <c r="AN19" s="385"/>
      <c r="AO19" s="385"/>
      <c r="AP19" s="385"/>
      <c r="AQ19" s="385"/>
      <c r="AR19" s="385"/>
      <c r="AS19" s="385"/>
      <c r="AT19" s="367"/>
      <c r="AV19" s="367"/>
      <c r="AW19" s="385"/>
      <c r="AX19" s="385"/>
      <c r="AY19" s="385"/>
      <c r="AZ19" s="385"/>
      <c r="BA19" s="385"/>
      <c r="BB19" s="385"/>
      <c r="BC19" s="385"/>
      <c r="BD19" s="385"/>
      <c r="BE19" s="385"/>
      <c r="BF19" s="385"/>
      <c r="BG19" s="385"/>
      <c r="BH19" s="385"/>
      <c r="BI19" s="385"/>
      <c r="BJ19" s="385"/>
      <c r="BK19" s="367"/>
    </row>
    <row r="20" spans="2:63" ht="15" thickBot="1">
      <c r="B20" s="375" t="s">
        <v>737</v>
      </c>
      <c r="C20" s="440" t="s">
        <v>738</v>
      </c>
      <c r="D20" s="370"/>
      <c r="E20" s="370"/>
      <c r="F20" s="370"/>
      <c r="G20" s="370"/>
      <c r="H20" s="370"/>
      <c r="I20" s="370"/>
      <c r="J20" s="370"/>
      <c r="K20" s="370"/>
      <c r="L20" s="370"/>
      <c r="M20" s="437"/>
      <c r="N20" s="437"/>
      <c r="O20" s="437"/>
      <c r="P20" s="437"/>
      <c r="Q20" s="437"/>
      <c r="R20" s="437"/>
      <c r="S20" s="437"/>
      <c r="T20" s="437"/>
      <c r="U20" s="437"/>
      <c r="V20" s="437"/>
      <c r="W20" s="437"/>
      <c r="X20" s="437"/>
      <c r="Y20" s="437"/>
      <c r="Z20" s="370"/>
      <c r="AA20" s="439"/>
      <c r="AB20" s="439"/>
      <c r="AD20" s="401"/>
      <c r="AE20" s="401"/>
      <c r="AG20" s="367"/>
      <c r="AH20" s="385"/>
      <c r="AI20" s="385"/>
      <c r="AJ20" s="385"/>
      <c r="AK20" s="385"/>
      <c r="AL20" s="385"/>
      <c r="AM20" s="385"/>
      <c r="AN20" s="385"/>
      <c r="AO20" s="385"/>
      <c r="AP20" s="385"/>
      <c r="AQ20" s="385"/>
      <c r="AR20" s="385"/>
      <c r="AS20" s="385"/>
      <c r="AT20" s="367"/>
      <c r="AV20" s="367"/>
      <c r="AW20" s="385"/>
      <c r="AX20" s="385"/>
      <c r="AY20" s="385"/>
      <c r="AZ20" s="385"/>
      <c r="BA20" s="385"/>
      <c r="BB20" s="385"/>
      <c r="BC20" s="385"/>
      <c r="BD20" s="385"/>
      <c r="BE20" s="385"/>
      <c r="BF20" s="385"/>
      <c r="BG20" s="385"/>
      <c r="BH20" s="385"/>
      <c r="BI20" s="385"/>
      <c r="BJ20" s="385"/>
      <c r="BK20" s="367"/>
    </row>
    <row r="21" spans="2:63" ht="14.25">
      <c r="B21" s="387">
        <v>14</v>
      </c>
      <c r="C21" s="388" t="s">
        <v>739</v>
      </c>
      <c r="D21" s="441" t="s">
        <v>740</v>
      </c>
      <c r="E21" s="389" t="s">
        <v>443</v>
      </c>
      <c r="F21" s="390">
        <v>0</v>
      </c>
      <c r="G21" s="442">
        <f>'[1]F_Inputs'!I35</f>
        <v>12</v>
      </c>
      <c r="H21" s="443">
        <f>'[1]F_Inputs'!N35</f>
        <v>12</v>
      </c>
      <c r="I21" s="443">
        <f>'[1]F_Inputs'!S35</f>
        <v>12</v>
      </c>
      <c r="J21" s="443">
        <f>'[1]F_Inputs'!X35</f>
        <v>12</v>
      </c>
      <c r="K21" s="443">
        <f>'[1]F_Inputs'!AC35</f>
        <v>12</v>
      </c>
      <c r="L21" s="443">
        <f>'[1]F_Inputs'!AH35</f>
        <v>12</v>
      </c>
      <c r="M21" s="393">
        <f aca="true" t="shared" si="6" ref="M21:X21">COUNT(M22:M33)</f>
        <v>12</v>
      </c>
      <c r="N21" s="394">
        <f t="shared" si="6"/>
        <v>12</v>
      </c>
      <c r="O21" s="397">
        <f t="shared" si="6"/>
        <v>12</v>
      </c>
      <c r="P21" s="396">
        <f t="shared" si="6"/>
        <v>12</v>
      </c>
      <c r="Q21" s="394">
        <f t="shared" si="6"/>
        <v>12</v>
      </c>
      <c r="R21" s="394">
        <f t="shared" si="6"/>
        <v>12</v>
      </c>
      <c r="S21" s="394">
        <f t="shared" si="6"/>
        <v>12</v>
      </c>
      <c r="T21" s="397">
        <f t="shared" si="6"/>
        <v>12</v>
      </c>
      <c r="U21" s="398">
        <f t="shared" si="6"/>
        <v>12</v>
      </c>
      <c r="V21" s="394">
        <f t="shared" si="6"/>
        <v>12</v>
      </c>
      <c r="W21" s="394">
        <f t="shared" si="6"/>
        <v>12</v>
      </c>
      <c r="X21" s="394">
        <f t="shared" si="6"/>
        <v>12</v>
      </c>
      <c r="Y21" s="397">
        <f>COUNT(Y22:Y33)</f>
        <v>12</v>
      </c>
      <c r="Z21" s="370"/>
      <c r="AA21" s="444" t="s">
        <v>741</v>
      </c>
      <c r="AB21" s="400" t="s">
        <v>727</v>
      </c>
      <c r="AD21" s="401"/>
      <c r="AE21" s="401">
        <f>IF(SUM(AX21:BJ21)=0,0,$AW$5)</f>
        <v>0</v>
      </c>
      <c r="AG21" s="367"/>
      <c r="AH21" s="385"/>
      <c r="AI21" s="385"/>
      <c r="AJ21" s="385"/>
      <c r="AK21" s="385"/>
      <c r="AL21" s="385"/>
      <c r="AM21" s="385"/>
      <c r="AN21" s="385"/>
      <c r="AO21" s="385"/>
      <c r="AP21" s="385"/>
      <c r="AQ21" s="385"/>
      <c r="AR21" s="385"/>
      <c r="AS21" s="385"/>
      <c r="AT21" s="367"/>
      <c r="AV21" s="367"/>
      <c r="AW21" s="385"/>
      <c r="AX21" s="402">
        <f aca="true" t="shared" si="7" ref="AX21:BJ21">IF(M21=12,0,1)</f>
        <v>0</v>
      </c>
      <c r="AY21" s="402">
        <f t="shared" si="7"/>
        <v>0</v>
      </c>
      <c r="AZ21" s="402">
        <f t="shared" si="7"/>
        <v>0</v>
      </c>
      <c r="BA21" s="402">
        <f t="shared" si="7"/>
        <v>0</v>
      </c>
      <c r="BB21" s="402">
        <f t="shared" si="7"/>
        <v>0</v>
      </c>
      <c r="BC21" s="402">
        <f t="shared" si="7"/>
        <v>0</v>
      </c>
      <c r="BD21" s="402">
        <f t="shared" si="7"/>
        <v>0</v>
      </c>
      <c r="BE21" s="402">
        <f t="shared" si="7"/>
        <v>0</v>
      </c>
      <c r="BF21" s="402">
        <f t="shared" si="7"/>
        <v>0</v>
      </c>
      <c r="BG21" s="402">
        <f t="shared" si="7"/>
        <v>0</v>
      </c>
      <c r="BH21" s="402">
        <f t="shared" si="7"/>
        <v>0</v>
      </c>
      <c r="BI21" s="402">
        <f t="shared" si="7"/>
        <v>0</v>
      </c>
      <c r="BJ21" s="402">
        <f t="shared" si="7"/>
        <v>0</v>
      </c>
      <c r="BK21" s="367"/>
    </row>
    <row r="22" spans="2:63" ht="14.25">
      <c r="B22" s="403">
        <v>15</v>
      </c>
      <c r="C22" s="404" t="s">
        <v>742</v>
      </c>
      <c r="D22" s="445" t="s">
        <v>480</v>
      </c>
      <c r="E22" s="405" t="s">
        <v>443</v>
      </c>
      <c r="F22" s="406">
        <v>1</v>
      </c>
      <c r="G22" s="446">
        <f>'[1]F_Inputs'!I36</f>
        <v>93.3</v>
      </c>
      <c r="H22" s="447">
        <f>'[1]F_Inputs'!N36</f>
        <v>95.9</v>
      </c>
      <c r="I22" s="447">
        <f>'[1]F_Inputs'!S36</f>
        <v>98</v>
      </c>
      <c r="J22" s="447">
        <f>'[1]F_Inputs'!X36</f>
        <v>99.6</v>
      </c>
      <c r="K22" s="447">
        <f>'[1]F_Inputs'!AC36</f>
        <v>99.9</v>
      </c>
      <c r="L22" s="447">
        <f>'[1]F_Inputs'!AH36</f>
        <v>100.6</v>
      </c>
      <c r="M22" s="447">
        <f>'[1]F_Inputs'!AM36</f>
        <v>103.2</v>
      </c>
      <c r="N22" s="409">
        <f>'[2]2019 update'!L80</f>
        <v>105.5</v>
      </c>
      <c r="O22" s="412">
        <f>'[2]2019 update'!L92</f>
        <v>107.6522</v>
      </c>
      <c r="P22" s="411">
        <f>O22*(1+P$53)</f>
        <v>109.805244</v>
      </c>
      <c r="Q22" s="409">
        <f aca="true" t="shared" si="8" ref="Q22:Y22">P22*(1+Q$53)</f>
        <v>112.00134888000001</v>
      </c>
      <c r="R22" s="409">
        <f t="shared" si="8"/>
        <v>114.2413758576</v>
      </c>
      <c r="S22" s="409">
        <f t="shared" si="8"/>
        <v>116.526203374752</v>
      </c>
      <c r="T22" s="412">
        <f t="shared" si="8"/>
        <v>118.85672744224705</v>
      </c>
      <c r="U22" s="413">
        <f t="shared" si="8"/>
        <v>121.233861991092</v>
      </c>
      <c r="V22" s="409">
        <f t="shared" si="8"/>
        <v>123.65853923091385</v>
      </c>
      <c r="W22" s="409">
        <f t="shared" si="8"/>
        <v>126.13171001553212</v>
      </c>
      <c r="X22" s="409">
        <f t="shared" si="8"/>
        <v>128.65434421584277</v>
      </c>
      <c r="Y22" s="412">
        <f t="shared" si="8"/>
        <v>131.22743110015963</v>
      </c>
      <c r="Z22" s="370"/>
      <c r="AA22" s="419"/>
      <c r="AB22" s="420"/>
      <c r="AD22" s="401">
        <f aca="true" t="shared" si="9" ref="AD22:AD33">IF(SUM(AH22:AS22)=0,0,$AH$5)</f>
        <v>0</v>
      </c>
      <c r="AE22" s="401"/>
      <c r="AG22" s="367"/>
      <c r="AH22" s="402">
        <f>IF(ISNUMBER(N22),0,1)</f>
        <v>0</v>
      </c>
      <c r="AI22" s="402">
        <f>IF(ISNUMBER(O22),0,1)</f>
        <v>0</v>
      </c>
      <c r="AJ22" s="402">
        <f aca="true" t="shared" si="10" ref="AJ22:AS33">IF(ISNUMBER(P22),0,1)</f>
        <v>0</v>
      </c>
      <c r="AK22" s="402">
        <f t="shared" si="10"/>
        <v>0</v>
      </c>
      <c r="AL22" s="402">
        <f t="shared" si="10"/>
        <v>0</v>
      </c>
      <c r="AM22" s="402">
        <f t="shared" si="10"/>
        <v>0</v>
      </c>
      <c r="AN22" s="402">
        <f t="shared" si="10"/>
        <v>0</v>
      </c>
      <c r="AO22" s="402">
        <f t="shared" si="10"/>
        <v>0</v>
      </c>
      <c r="AP22" s="402">
        <f t="shared" si="10"/>
        <v>0</v>
      </c>
      <c r="AQ22" s="402">
        <f t="shared" si="10"/>
        <v>0</v>
      </c>
      <c r="AR22" s="402">
        <f t="shared" si="10"/>
        <v>0</v>
      </c>
      <c r="AS22" s="402">
        <f t="shared" si="10"/>
        <v>0</v>
      </c>
      <c r="AT22" s="367"/>
      <c r="AV22" s="367"/>
      <c r="AW22" s="385"/>
      <c r="AX22" s="385"/>
      <c r="AY22" s="385"/>
      <c r="AZ22" s="385"/>
      <c r="BA22" s="385"/>
      <c r="BB22" s="385"/>
      <c r="BC22" s="385"/>
      <c r="BD22" s="385"/>
      <c r="BE22" s="385"/>
      <c r="BF22" s="385"/>
      <c r="BG22" s="385"/>
      <c r="BH22" s="385"/>
      <c r="BI22" s="385"/>
      <c r="BJ22" s="385"/>
      <c r="BK22" s="367"/>
    </row>
    <row r="23" spans="2:63" ht="14.25">
      <c r="B23" s="403">
        <v>16</v>
      </c>
      <c r="C23" s="416" t="s">
        <v>743</v>
      </c>
      <c r="D23" s="448" t="s">
        <v>481</v>
      </c>
      <c r="E23" s="417" t="s">
        <v>443</v>
      </c>
      <c r="F23" s="418">
        <v>1</v>
      </c>
      <c r="G23" s="446">
        <f>'[1]F_Inputs'!I37</f>
        <v>93.5</v>
      </c>
      <c r="H23" s="447">
        <f>'[1]F_Inputs'!N37</f>
        <v>95.9</v>
      </c>
      <c r="I23" s="447">
        <f>'[1]F_Inputs'!S37</f>
        <v>98.2</v>
      </c>
      <c r="J23" s="447">
        <f>'[1]F_Inputs'!X37</f>
        <v>99.6</v>
      </c>
      <c r="K23" s="447">
        <f>'[1]F_Inputs'!AC37</f>
        <v>100.1</v>
      </c>
      <c r="L23" s="447">
        <f>'[1]F_Inputs'!AH37</f>
        <v>100.8</v>
      </c>
      <c r="M23" s="447">
        <f>'[1]F_Inputs'!AM37</f>
        <v>103.5</v>
      </c>
      <c r="N23" s="409">
        <f>'[2]2019 update'!L81</f>
        <v>105.9</v>
      </c>
      <c r="O23" s="412">
        <f>'[2]2019 update'!L93</f>
        <v>107.88033</v>
      </c>
      <c r="P23" s="411">
        <f aca="true" t="shared" si="11" ref="P23:Y33">O23*(1+P$53)</f>
        <v>110.03793660000001</v>
      </c>
      <c r="Q23" s="409">
        <f t="shared" si="11"/>
        <v>112.238695332</v>
      </c>
      <c r="R23" s="409">
        <f t="shared" si="11"/>
        <v>114.48346923864001</v>
      </c>
      <c r="S23" s="409">
        <f t="shared" si="11"/>
        <v>116.77313862341282</v>
      </c>
      <c r="T23" s="412">
        <f t="shared" si="11"/>
        <v>119.10860139588108</v>
      </c>
      <c r="U23" s="413">
        <f t="shared" si="11"/>
        <v>121.4907734237987</v>
      </c>
      <c r="V23" s="409">
        <f t="shared" si="11"/>
        <v>123.92058889227468</v>
      </c>
      <c r="W23" s="409">
        <f t="shared" si="11"/>
        <v>126.39900067012017</v>
      </c>
      <c r="X23" s="409">
        <f t="shared" si="11"/>
        <v>128.92698068352257</v>
      </c>
      <c r="Y23" s="412">
        <f t="shared" si="11"/>
        <v>131.50552029719302</v>
      </c>
      <c r="Z23" s="370"/>
      <c r="AA23" s="419"/>
      <c r="AB23" s="420"/>
      <c r="AD23" s="401">
        <f t="shared" si="9"/>
        <v>0</v>
      </c>
      <c r="AE23" s="401"/>
      <c r="AG23" s="449"/>
      <c r="AH23" s="402">
        <f aca="true" t="shared" si="12" ref="AH23:AI33">IF(ISNUMBER(N23),0,1)</f>
        <v>0</v>
      </c>
      <c r="AI23" s="402">
        <f t="shared" si="12"/>
        <v>0</v>
      </c>
      <c r="AJ23" s="402">
        <f t="shared" si="10"/>
        <v>0</v>
      </c>
      <c r="AK23" s="402">
        <f t="shared" si="10"/>
        <v>0</v>
      </c>
      <c r="AL23" s="402">
        <f t="shared" si="10"/>
        <v>0</v>
      </c>
      <c r="AM23" s="402">
        <f t="shared" si="10"/>
        <v>0</v>
      </c>
      <c r="AN23" s="402">
        <f t="shared" si="10"/>
        <v>0</v>
      </c>
      <c r="AO23" s="402">
        <f t="shared" si="10"/>
        <v>0</v>
      </c>
      <c r="AP23" s="402">
        <f t="shared" si="10"/>
        <v>0</v>
      </c>
      <c r="AQ23" s="402">
        <f t="shared" si="10"/>
        <v>0</v>
      </c>
      <c r="AR23" s="402">
        <f t="shared" si="10"/>
        <v>0</v>
      </c>
      <c r="AS23" s="402">
        <f t="shared" si="10"/>
        <v>0</v>
      </c>
      <c r="AT23" s="449"/>
      <c r="AV23" s="449"/>
      <c r="AW23" s="450"/>
      <c r="AX23" s="385"/>
      <c r="AY23" s="385"/>
      <c r="AZ23" s="385"/>
      <c r="BA23" s="385"/>
      <c r="BB23" s="385"/>
      <c r="BC23" s="385"/>
      <c r="BD23" s="385"/>
      <c r="BE23" s="385"/>
      <c r="BF23" s="385"/>
      <c r="BG23" s="385"/>
      <c r="BH23" s="385"/>
      <c r="BI23" s="385"/>
      <c r="BJ23" s="385"/>
      <c r="BK23" s="449"/>
    </row>
    <row r="24" spans="2:63" ht="14.25">
      <c r="B24" s="403">
        <v>17</v>
      </c>
      <c r="C24" s="421" t="s">
        <v>744</v>
      </c>
      <c r="D24" s="451" t="s">
        <v>482</v>
      </c>
      <c r="E24" s="422" t="s">
        <v>443</v>
      </c>
      <c r="F24" s="423">
        <v>1</v>
      </c>
      <c r="G24" s="446">
        <f>'[1]F_Inputs'!I38</f>
        <v>93.5</v>
      </c>
      <c r="H24" s="447">
        <f>'[1]F_Inputs'!N38</f>
        <v>95.6</v>
      </c>
      <c r="I24" s="447">
        <f>'[1]F_Inputs'!S38</f>
        <v>98</v>
      </c>
      <c r="J24" s="447">
        <f>'[1]F_Inputs'!X38</f>
        <v>99.8</v>
      </c>
      <c r="K24" s="447">
        <f>'[1]F_Inputs'!AC38</f>
        <v>100.1</v>
      </c>
      <c r="L24" s="447">
        <f>'[1]F_Inputs'!AH38</f>
        <v>101</v>
      </c>
      <c r="M24" s="447">
        <f>'[1]F_Inputs'!AM38</f>
        <v>103.5</v>
      </c>
      <c r="N24" s="409">
        <f>'[2]2019 update'!L82</f>
        <v>105.9</v>
      </c>
      <c r="O24" s="412">
        <f>'[2]2019 update'!L94</f>
        <v>107.92268999999999</v>
      </c>
      <c r="P24" s="411">
        <f t="shared" si="11"/>
        <v>110.08114379999999</v>
      </c>
      <c r="Q24" s="409">
        <f t="shared" si="11"/>
        <v>112.282766676</v>
      </c>
      <c r="R24" s="409">
        <f t="shared" si="11"/>
        <v>114.52842200952</v>
      </c>
      <c r="S24" s="409">
        <f t="shared" si="11"/>
        <v>116.8189904497104</v>
      </c>
      <c r="T24" s="412">
        <f t="shared" si="11"/>
        <v>119.15537025870461</v>
      </c>
      <c r="U24" s="413">
        <f t="shared" si="11"/>
        <v>121.53847766387871</v>
      </c>
      <c r="V24" s="409">
        <f t="shared" si="11"/>
        <v>123.96924721715628</v>
      </c>
      <c r="W24" s="409">
        <f t="shared" si="11"/>
        <v>126.4486321614994</v>
      </c>
      <c r="X24" s="409">
        <f t="shared" si="11"/>
        <v>128.9776048047294</v>
      </c>
      <c r="Y24" s="412">
        <f t="shared" si="11"/>
        <v>131.557156900824</v>
      </c>
      <c r="Z24" s="370"/>
      <c r="AA24" s="419"/>
      <c r="AB24" s="420"/>
      <c r="AD24" s="401">
        <f t="shared" si="9"/>
        <v>0</v>
      </c>
      <c r="AE24" s="401"/>
      <c r="AG24" s="449"/>
      <c r="AH24" s="402">
        <f t="shared" si="12"/>
        <v>0</v>
      </c>
      <c r="AI24" s="402">
        <f t="shared" si="12"/>
        <v>0</v>
      </c>
      <c r="AJ24" s="402">
        <f t="shared" si="10"/>
        <v>0</v>
      </c>
      <c r="AK24" s="402">
        <f t="shared" si="10"/>
        <v>0</v>
      </c>
      <c r="AL24" s="402">
        <f t="shared" si="10"/>
        <v>0</v>
      </c>
      <c r="AM24" s="402">
        <f t="shared" si="10"/>
        <v>0</v>
      </c>
      <c r="AN24" s="402">
        <f t="shared" si="10"/>
        <v>0</v>
      </c>
      <c r="AO24" s="402">
        <f t="shared" si="10"/>
        <v>0</v>
      </c>
      <c r="AP24" s="402">
        <f t="shared" si="10"/>
        <v>0</v>
      </c>
      <c r="AQ24" s="402">
        <f t="shared" si="10"/>
        <v>0</v>
      </c>
      <c r="AR24" s="402">
        <f t="shared" si="10"/>
        <v>0</v>
      </c>
      <c r="AS24" s="402">
        <f t="shared" si="10"/>
        <v>0</v>
      </c>
      <c r="AT24" s="449"/>
      <c r="AV24" s="449"/>
      <c r="AW24" s="385"/>
      <c r="AX24" s="385"/>
      <c r="AY24" s="385"/>
      <c r="AZ24" s="385"/>
      <c r="BA24" s="385"/>
      <c r="BB24" s="385"/>
      <c r="BC24" s="385"/>
      <c r="BD24" s="385"/>
      <c r="BE24" s="385"/>
      <c r="BF24" s="385"/>
      <c r="BG24" s="385"/>
      <c r="BH24" s="385"/>
      <c r="BI24" s="385"/>
      <c r="BJ24" s="385"/>
      <c r="BK24" s="449"/>
    </row>
    <row r="25" spans="2:63" ht="14.25">
      <c r="B25" s="403">
        <v>18</v>
      </c>
      <c r="C25" s="421" t="s">
        <v>745</v>
      </c>
      <c r="D25" s="451" t="s">
        <v>483</v>
      </c>
      <c r="E25" s="422" t="s">
        <v>443</v>
      </c>
      <c r="F25" s="423">
        <v>1</v>
      </c>
      <c r="G25" s="446">
        <f>'[1]F_Inputs'!I39</f>
        <v>93.5</v>
      </c>
      <c r="H25" s="447">
        <f>'[1]F_Inputs'!N39</f>
        <v>95.7</v>
      </c>
      <c r="I25" s="447">
        <f>'[1]F_Inputs'!S39</f>
        <v>98</v>
      </c>
      <c r="J25" s="447">
        <f>'[1]F_Inputs'!X39</f>
        <v>99.6</v>
      </c>
      <c r="K25" s="447">
        <f>'[1]F_Inputs'!AC39</f>
        <v>100</v>
      </c>
      <c r="L25" s="447">
        <f>'[1]F_Inputs'!AH39</f>
        <v>100.9</v>
      </c>
      <c r="M25" s="447">
        <f>'[1]F_Inputs'!AM39</f>
        <v>103.5</v>
      </c>
      <c r="N25" s="409">
        <f>'[2]2019 update'!L83</f>
        <v>105.9</v>
      </c>
      <c r="O25" s="412">
        <f>'[2]2019 update'!L95</f>
        <v>107.84856</v>
      </c>
      <c r="P25" s="411">
        <f t="shared" si="11"/>
        <v>110.00553120000001</v>
      </c>
      <c r="Q25" s="409">
        <f t="shared" si="11"/>
        <v>112.20564182400001</v>
      </c>
      <c r="R25" s="409">
        <f t="shared" si="11"/>
        <v>114.44975466048001</v>
      </c>
      <c r="S25" s="409">
        <f t="shared" si="11"/>
        <v>116.73874975368962</v>
      </c>
      <c r="T25" s="412">
        <f t="shared" si="11"/>
        <v>119.07352474876342</v>
      </c>
      <c r="U25" s="413">
        <f t="shared" si="11"/>
        <v>121.4549952437387</v>
      </c>
      <c r="V25" s="409">
        <f t="shared" si="11"/>
        <v>123.88409514861347</v>
      </c>
      <c r="W25" s="409">
        <f t="shared" si="11"/>
        <v>126.36177705158573</v>
      </c>
      <c r="X25" s="409">
        <f t="shared" si="11"/>
        <v>128.88901259261746</v>
      </c>
      <c r="Y25" s="412">
        <f t="shared" si="11"/>
        <v>131.4667928444698</v>
      </c>
      <c r="Z25" s="370"/>
      <c r="AA25" s="419"/>
      <c r="AB25" s="420"/>
      <c r="AD25" s="401">
        <f t="shared" si="9"/>
        <v>0</v>
      </c>
      <c r="AE25" s="401"/>
      <c r="AG25" s="449"/>
      <c r="AH25" s="402">
        <f t="shared" si="12"/>
        <v>0</v>
      </c>
      <c r="AI25" s="402">
        <f t="shared" si="12"/>
        <v>0</v>
      </c>
      <c r="AJ25" s="402">
        <f t="shared" si="10"/>
        <v>0</v>
      </c>
      <c r="AK25" s="402">
        <f t="shared" si="10"/>
        <v>0</v>
      </c>
      <c r="AL25" s="402">
        <f t="shared" si="10"/>
        <v>0</v>
      </c>
      <c r="AM25" s="402">
        <f t="shared" si="10"/>
        <v>0</v>
      </c>
      <c r="AN25" s="402">
        <f t="shared" si="10"/>
        <v>0</v>
      </c>
      <c r="AO25" s="402">
        <f t="shared" si="10"/>
        <v>0</v>
      </c>
      <c r="AP25" s="402">
        <f t="shared" si="10"/>
        <v>0</v>
      </c>
      <c r="AQ25" s="402">
        <f t="shared" si="10"/>
        <v>0</v>
      </c>
      <c r="AR25" s="402">
        <f t="shared" si="10"/>
        <v>0</v>
      </c>
      <c r="AS25" s="402">
        <f t="shared" si="10"/>
        <v>0</v>
      </c>
      <c r="AT25" s="449"/>
      <c r="AV25" s="449"/>
      <c r="AW25" s="385"/>
      <c r="AX25" s="385"/>
      <c r="AY25" s="385"/>
      <c r="AZ25" s="385"/>
      <c r="BA25" s="385"/>
      <c r="BB25" s="385"/>
      <c r="BC25" s="385"/>
      <c r="BD25" s="385"/>
      <c r="BE25" s="385"/>
      <c r="BF25" s="385"/>
      <c r="BG25" s="385"/>
      <c r="BH25" s="385"/>
      <c r="BI25" s="385"/>
      <c r="BJ25" s="385"/>
      <c r="BK25" s="449"/>
    </row>
    <row r="26" spans="2:63" ht="14.25">
      <c r="B26" s="403">
        <v>19</v>
      </c>
      <c r="C26" s="421" t="s">
        <v>631</v>
      </c>
      <c r="D26" s="451" t="s">
        <v>484</v>
      </c>
      <c r="E26" s="422" t="s">
        <v>443</v>
      </c>
      <c r="F26" s="423">
        <v>1</v>
      </c>
      <c r="G26" s="446">
        <f>'[1]F_Inputs'!I40</f>
        <v>93.9</v>
      </c>
      <c r="H26" s="447">
        <f>'[1]F_Inputs'!N40</f>
        <v>96.1</v>
      </c>
      <c r="I26" s="447">
        <f>'[1]F_Inputs'!S40</f>
        <v>98.4</v>
      </c>
      <c r="J26" s="447">
        <f>'[1]F_Inputs'!X40</f>
        <v>99.9</v>
      </c>
      <c r="K26" s="447">
        <f>'[1]F_Inputs'!AC40</f>
        <v>100.3</v>
      </c>
      <c r="L26" s="447">
        <f>'[1]F_Inputs'!AH40</f>
        <v>101.2</v>
      </c>
      <c r="M26" s="447">
        <f>'[1]F_Inputs'!AM40</f>
        <v>104</v>
      </c>
      <c r="N26" s="409">
        <f>'[2]2019 update'!L84</f>
        <v>106.5</v>
      </c>
      <c r="O26" s="412">
        <f>'[2]2019 update'!L96</f>
        <v>108.40635</v>
      </c>
      <c r="P26" s="411">
        <f t="shared" si="11"/>
        <v>110.574477</v>
      </c>
      <c r="Q26" s="409">
        <f t="shared" si="11"/>
        <v>112.78596654</v>
      </c>
      <c r="R26" s="409">
        <f t="shared" si="11"/>
        <v>115.04168587080001</v>
      </c>
      <c r="S26" s="409">
        <f t="shared" si="11"/>
        <v>117.342519588216</v>
      </c>
      <c r="T26" s="412">
        <f t="shared" si="11"/>
        <v>119.68936997998033</v>
      </c>
      <c r="U26" s="413">
        <f t="shared" si="11"/>
        <v>122.08315737957993</v>
      </c>
      <c r="V26" s="409">
        <f t="shared" si="11"/>
        <v>124.52482052717153</v>
      </c>
      <c r="W26" s="409">
        <f t="shared" si="11"/>
        <v>127.01531693771496</v>
      </c>
      <c r="X26" s="409">
        <f t="shared" si="11"/>
        <v>129.55562327646925</v>
      </c>
      <c r="Y26" s="412">
        <f t="shared" si="11"/>
        <v>132.14673574199864</v>
      </c>
      <c r="Z26" s="370"/>
      <c r="AA26" s="419"/>
      <c r="AB26" s="420"/>
      <c r="AD26" s="401">
        <f t="shared" si="9"/>
        <v>0</v>
      </c>
      <c r="AE26" s="401"/>
      <c r="AG26" s="367"/>
      <c r="AH26" s="402">
        <f t="shared" si="12"/>
        <v>0</v>
      </c>
      <c r="AI26" s="402">
        <f t="shared" si="12"/>
        <v>0</v>
      </c>
      <c r="AJ26" s="402">
        <f t="shared" si="10"/>
        <v>0</v>
      </c>
      <c r="AK26" s="402">
        <f t="shared" si="10"/>
        <v>0</v>
      </c>
      <c r="AL26" s="402">
        <f t="shared" si="10"/>
        <v>0</v>
      </c>
      <c r="AM26" s="402">
        <f t="shared" si="10"/>
        <v>0</v>
      </c>
      <c r="AN26" s="402">
        <f t="shared" si="10"/>
        <v>0</v>
      </c>
      <c r="AO26" s="402">
        <f t="shared" si="10"/>
        <v>0</v>
      </c>
      <c r="AP26" s="402">
        <f t="shared" si="10"/>
        <v>0</v>
      </c>
      <c r="AQ26" s="402">
        <f t="shared" si="10"/>
        <v>0</v>
      </c>
      <c r="AR26" s="402">
        <f t="shared" si="10"/>
        <v>0</v>
      </c>
      <c r="AS26" s="402">
        <f t="shared" si="10"/>
        <v>0</v>
      </c>
      <c r="AT26" s="367"/>
      <c r="AV26" s="367"/>
      <c r="AW26" s="385"/>
      <c r="AX26" s="385"/>
      <c r="AY26" s="385"/>
      <c r="AZ26" s="385"/>
      <c r="BA26" s="385"/>
      <c r="BB26" s="385"/>
      <c r="BC26" s="385"/>
      <c r="BD26" s="385"/>
      <c r="BE26" s="385"/>
      <c r="BF26" s="385"/>
      <c r="BG26" s="385"/>
      <c r="BH26" s="385"/>
      <c r="BI26" s="385"/>
      <c r="BJ26" s="385"/>
      <c r="BK26" s="367"/>
    </row>
    <row r="27" spans="2:63" ht="14.25">
      <c r="B27" s="403">
        <v>20</v>
      </c>
      <c r="C27" s="421" t="s">
        <v>632</v>
      </c>
      <c r="D27" s="451" t="s">
        <v>485</v>
      </c>
      <c r="E27" s="422" t="s">
        <v>443</v>
      </c>
      <c r="F27" s="423">
        <v>1</v>
      </c>
      <c r="G27" s="446">
        <f>'[1]F_Inputs'!I41</f>
        <v>94.5</v>
      </c>
      <c r="H27" s="447">
        <f>'[1]F_Inputs'!N41</f>
        <v>96.4</v>
      </c>
      <c r="I27" s="447">
        <f>'[1]F_Inputs'!S41</f>
        <v>98.7</v>
      </c>
      <c r="J27" s="447">
        <f>'[1]F_Inputs'!X41</f>
        <v>100</v>
      </c>
      <c r="K27" s="447">
        <f>'[1]F_Inputs'!AC41</f>
        <v>100.2</v>
      </c>
      <c r="L27" s="447">
        <f>'[1]F_Inputs'!AH41</f>
        <v>101.5</v>
      </c>
      <c r="M27" s="447">
        <f>'[1]F_Inputs'!AM41</f>
        <v>104.3</v>
      </c>
      <c r="N27" s="409">
        <f>'[2]2019 update'!L85</f>
        <v>106.6</v>
      </c>
      <c r="O27" s="412">
        <f>'[2]2019 update'!L97</f>
        <v>108.52946</v>
      </c>
      <c r="P27" s="411">
        <f t="shared" si="11"/>
        <v>110.7000492</v>
      </c>
      <c r="Q27" s="409">
        <f t="shared" si="11"/>
        <v>112.91405018399999</v>
      </c>
      <c r="R27" s="409">
        <f t="shared" si="11"/>
        <v>115.17233118767999</v>
      </c>
      <c r="S27" s="409">
        <f t="shared" si="11"/>
        <v>117.47577781143359</v>
      </c>
      <c r="T27" s="412">
        <f t="shared" si="11"/>
        <v>119.82529336766225</v>
      </c>
      <c r="U27" s="413">
        <f t="shared" si="11"/>
        <v>122.2217992350155</v>
      </c>
      <c r="V27" s="409">
        <f t="shared" si="11"/>
        <v>124.6662352197158</v>
      </c>
      <c r="W27" s="409">
        <f t="shared" si="11"/>
        <v>127.15955992411011</v>
      </c>
      <c r="X27" s="409">
        <f t="shared" si="11"/>
        <v>129.7027511225923</v>
      </c>
      <c r="Y27" s="412">
        <f t="shared" si="11"/>
        <v>132.29680614504414</v>
      </c>
      <c r="Z27" s="370"/>
      <c r="AA27" s="419"/>
      <c r="AB27" s="420"/>
      <c r="AD27" s="401">
        <f t="shared" si="9"/>
        <v>0</v>
      </c>
      <c r="AE27" s="401"/>
      <c r="AG27" s="367"/>
      <c r="AH27" s="402">
        <f t="shared" si="12"/>
        <v>0</v>
      </c>
      <c r="AI27" s="402">
        <f t="shared" si="12"/>
        <v>0</v>
      </c>
      <c r="AJ27" s="402">
        <f t="shared" si="10"/>
        <v>0</v>
      </c>
      <c r="AK27" s="402">
        <f t="shared" si="10"/>
        <v>0</v>
      </c>
      <c r="AL27" s="402">
        <f t="shared" si="10"/>
        <v>0</v>
      </c>
      <c r="AM27" s="402">
        <f t="shared" si="10"/>
        <v>0</v>
      </c>
      <c r="AN27" s="402">
        <f t="shared" si="10"/>
        <v>0</v>
      </c>
      <c r="AO27" s="402">
        <f t="shared" si="10"/>
        <v>0</v>
      </c>
      <c r="AP27" s="402">
        <f t="shared" si="10"/>
        <v>0</v>
      </c>
      <c r="AQ27" s="402">
        <f t="shared" si="10"/>
        <v>0</v>
      </c>
      <c r="AR27" s="402">
        <f t="shared" si="10"/>
        <v>0</v>
      </c>
      <c r="AS27" s="402">
        <f t="shared" si="10"/>
        <v>0</v>
      </c>
      <c r="AT27" s="367"/>
      <c r="AV27" s="367"/>
      <c r="AW27" s="385"/>
      <c r="AX27" s="385"/>
      <c r="AY27" s="385"/>
      <c r="AZ27" s="385"/>
      <c r="BA27" s="385"/>
      <c r="BB27" s="385"/>
      <c r="BC27" s="385"/>
      <c r="BD27" s="385"/>
      <c r="BE27" s="385"/>
      <c r="BF27" s="385"/>
      <c r="BG27" s="385"/>
      <c r="BH27" s="385"/>
      <c r="BI27" s="385"/>
      <c r="BJ27" s="385"/>
      <c r="BK27" s="367"/>
    </row>
    <row r="28" spans="2:63" ht="14.25">
      <c r="B28" s="403">
        <v>21</v>
      </c>
      <c r="C28" s="421" t="s">
        <v>633</v>
      </c>
      <c r="D28" s="451" t="s">
        <v>486</v>
      </c>
      <c r="E28" s="422" t="s">
        <v>443</v>
      </c>
      <c r="F28" s="423">
        <v>1</v>
      </c>
      <c r="G28" s="446">
        <f>'[1]F_Inputs'!I42</f>
        <v>94.5</v>
      </c>
      <c r="H28" s="447">
        <f>'[1]F_Inputs'!N42</f>
        <v>96.8</v>
      </c>
      <c r="I28" s="447">
        <f>'[1]F_Inputs'!S42</f>
        <v>98.8</v>
      </c>
      <c r="J28" s="447">
        <f>'[1]F_Inputs'!X42</f>
        <v>100.1</v>
      </c>
      <c r="K28" s="447">
        <f>'[1]F_Inputs'!AC42</f>
        <v>100.3</v>
      </c>
      <c r="L28" s="447">
        <f>'[1]F_Inputs'!AH42</f>
        <v>101.6</v>
      </c>
      <c r="M28" s="447">
        <f>'[1]F_Inputs'!AM42</f>
        <v>104.4</v>
      </c>
      <c r="N28" s="409">
        <f>'[2]2019 update'!L86</f>
        <v>106.7</v>
      </c>
      <c r="O28" s="412">
        <f>'[2]2019 update'!L98</f>
        <v>108.44988</v>
      </c>
      <c r="P28" s="411">
        <f t="shared" si="11"/>
        <v>110.61887759999999</v>
      </c>
      <c r="Q28" s="409">
        <f t="shared" si="11"/>
        <v>112.831255152</v>
      </c>
      <c r="R28" s="409">
        <f t="shared" si="11"/>
        <v>115.08788025504</v>
      </c>
      <c r="S28" s="409">
        <f t="shared" si="11"/>
        <v>117.38963786014081</v>
      </c>
      <c r="T28" s="412">
        <f t="shared" si="11"/>
        <v>119.73743061734363</v>
      </c>
      <c r="U28" s="413">
        <f t="shared" si="11"/>
        <v>122.13217922969051</v>
      </c>
      <c r="V28" s="409">
        <f t="shared" si="11"/>
        <v>124.57482281428432</v>
      </c>
      <c r="W28" s="409">
        <f t="shared" si="11"/>
        <v>127.06631927057</v>
      </c>
      <c r="X28" s="409">
        <f t="shared" si="11"/>
        <v>129.6076456559814</v>
      </c>
      <c r="Y28" s="412">
        <f t="shared" si="11"/>
        <v>132.19979856910103</v>
      </c>
      <c r="Z28" s="370"/>
      <c r="AA28" s="419"/>
      <c r="AB28" s="420"/>
      <c r="AD28" s="401">
        <f t="shared" si="9"/>
        <v>0</v>
      </c>
      <c r="AE28" s="401"/>
      <c r="AG28" s="367"/>
      <c r="AH28" s="402">
        <f t="shared" si="12"/>
        <v>0</v>
      </c>
      <c r="AI28" s="402">
        <f t="shared" si="12"/>
        <v>0</v>
      </c>
      <c r="AJ28" s="402">
        <f t="shared" si="10"/>
        <v>0</v>
      </c>
      <c r="AK28" s="402">
        <f t="shared" si="10"/>
        <v>0</v>
      </c>
      <c r="AL28" s="402">
        <f t="shared" si="10"/>
        <v>0</v>
      </c>
      <c r="AM28" s="402">
        <f t="shared" si="10"/>
        <v>0</v>
      </c>
      <c r="AN28" s="402">
        <f t="shared" si="10"/>
        <v>0</v>
      </c>
      <c r="AO28" s="402">
        <f t="shared" si="10"/>
        <v>0</v>
      </c>
      <c r="AP28" s="402">
        <f t="shared" si="10"/>
        <v>0</v>
      </c>
      <c r="AQ28" s="402">
        <f t="shared" si="10"/>
        <v>0</v>
      </c>
      <c r="AR28" s="402">
        <f t="shared" si="10"/>
        <v>0</v>
      </c>
      <c r="AS28" s="402">
        <f t="shared" si="10"/>
        <v>0</v>
      </c>
      <c r="AT28" s="367"/>
      <c r="AV28" s="367"/>
      <c r="AW28" s="385"/>
      <c r="AX28" s="385"/>
      <c r="AY28" s="385"/>
      <c r="AZ28" s="385"/>
      <c r="BA28" s="385"/>
      <c r="BB28" s="385"/>
      <c r="BC28" s="385"/>
      <c r="BD28" s="385"/>
      <c r="BE28" s="385"/>
      <c r="BF28" s="385"/>
      <c r="BG28" s="385"/>
      <c r="BH28" s="385"/>
      <c r="BI28" s="385"/>
      <c r="BJ28" s="385"/>
      <c r="BK28" s="367"/>
    </row>
    <row r="29" spans="2:63" ht="14.25">
      <c r="B29" s="403">
        <v>22</v>
      </c>
      <c r="C29" s="421" t="s">
        <v>746</v>
      </c>
      <c r="D29" s="451" t="s">
        <v>487</v>
      </c>
      <c r="E29" s="422" t="s">
        <v>443</v>
      </c>
      <c r="F29" s="423">
        <v>1</v>
      </c>
      <c r="G29" s="446">
        <f>'[1]F_Inputs'!I43</f>
        <v>94.7</v>
      </c>
      <c r="H29" s="447">
        <f>'[1]F_Inputs'!N43</f>
        <v>97</v>
      </c>
      <c r="I29" s="447">
        <f>'[1]F_Inputs'!S43</f>
        <v>98.8</v>
      </c>
      <c r="J29" s="447">
        <f>'[1]F_Inputs'!X43</f>
        <v>99.9</v>
      </c>
      <c r="K29" s="447">
        <f>'[1]F_Inputs'!AC43</f>
        <v>100.3</v>
      </c>
      <c r="L29" s="447">
        <f>'[1]F_Inputs'!AH43</f>
        <v>101.8</v>
      </c>
      <c r="M29" s="447">
        <f>'[1]F_Inputs'!AM43</f>
        <v>104.7</v>
      </c>
      <c r="N29" s="409">
        <f>'[2]2019 update'!L87</f>
        <v>106.9</v>
      </c>
      <c r="O29" s="412">
        <f>'[2]2019 update'!L99</f>
        <v>108.65316</v>
      </c>
      <c r="P29" s="411">
        <f t="shared" si="11"/>
        <v>110.8262232</v>
      </c>
      <c r="Q29" s="409">
        <f t="shared" si="11"/>
        <v>113.042747664</v>
      </c>
      <c r="R29" s="409">
        <f t="shared" si="11"/>
        <v>115.30360261728</v>
      </c>
      <c r="S29" s="409">
        <f t="shared" si="11"/>
        <v>117.6096746696256</v>
      </c>
      <c r="T29" s="412">
        <f t="shared" si="11"/>
        <v>119.96186816301812</v>
      </c>
      <c r="U29" s="413">
        <f t="shared" si="11"/>
        <v>122.3611055262785</v>
      </c>
      <c r="V29" s="409">
        <f t="shared" si="11"/>
        <v>124.80832763680407</v>
      </c>
      <c r="W29" s="409">
        <f t="shared" si="11"/>
        <v>127.30449418954015</v>
      </c>
      <c r="X29" s="409">
        <f t="shared" si="11"/>
        <v>129.85058407333096</v>
      </c>
      <c r="Y29" s="412">
        <f t="shared" si="11"/>
        <v>132.4475957547976</v>
      </c>
      <c r="Z29" s="370"/>
      <c r="AA29" s="419"/>
      <c r="AB29" s="420"/>
      <c r="AD29" s="401">
        <f t="shared" si="9"/>
        <v>0</v>
      </c>
      <c r="AE29" s="401"/>
      <c r="AG29" s="367"/>
      <c r="AH29" s="402">
        <f t="shared" si="12"/>
        <v>0</v>
      </c>
      <c r="AI29" s="402">
        <f t="shared" si="12"/>
        <v>0</v>
      </c>
      <c r="AJ29" s="402">
        <f t="shared" si="10"/>
        <v>0</v>
      </c>
      <c r="AK29" s="402">
        <f t="shared" si="10"/>
        <v>0</v>
      </c>
      <c r="AL29" s="402">
        <f t="shared" si="10"/>
        <v>0</v>
      </c>
      <c r="AM29" s="402">
        <f t="shared" si="10"/>
        <v>0</v>
      </c>
      <c r="AN29" s="402">
        <f t="shared" si="10"/>
        <v>0</v>
      </c>
      <c r="AO29" s="402">
        <f t="shared" si="10"/>
        <v>0</v>
      </c>
      <c r="AP29" s="402">
        <f t="shared" si="10"/>
        <v>0</v>
      </c>
      <c r="AQ29" s="402">
        <f t="shared" si="10"/>
        <v>0</v>
      </c>
      <c r="AR29" s="402">
        <f t="shared" si="10"/>
        <v>0</v>
      </c>
      <c r="AS29" s="402">
        <f t="shared" si="10"/>
        <v>0</v>
      </c>
      <c r="AT29" s="367"/>
      <c r="AV29" s="367"/>
      <c r="AW29" s="385"/>
      <c r="AX29" s="385"/>
      <c r="AY29" s="385"/>
      <c r="AZ29" s="385"/>
      <c r="BA29" s="385"/>
      <c r="BB29" s="385"/>
      <c r="BC29" s="385"/>
      <c r="BD29" s="385"/>
      <c r="BE29" s="385"/>
      <c r="BF29" s="385"/>
      <c r="BG29" s="385"/>
      <c r="BH29" s="385"/>
      <c r="BI29" s="385"/>
      <c r="BJ29" s="385"/>
      <c r="BK29" s="367"/>
    </row>
    <row r="30" spans="2:63" ht="14.25">
      <c r="B30" s="403">
        <v>23</v>
      </c>
      <c r="C30" s="421" t="s">
        <v>747</v>
      </c>
      <c r="D30" s="451" t="s">
        <v>488</v>
      </c>
      <c r="E30" s="422" t="s">
        <v>443</v>
      </c>
      <c r="F30" s="423">
        <v>1</v>
      </c>
      <c r="G30" s="446">
        <f>'[1]F_Inputs'!I44</f>
        <v>95</v>
      </c>
      <c r="H30" s="447">
        <f>'[1]F_Inputs'!N44</f>
        <v>97.3</v>
      </c>
      <c r="I30" s="447">
        <f>'[1]F_Inputs'!S44</f>
        <v>99.2</v>
      </c>
      <c r="J30" s="447">
        <f>'[1]F_Inputs'!X44</f>
        <v>99.9</v>
      </c>
      <c r="K30" s="447">
        <f>'[1]F_Inputs'!AC44</f>
        <v>100.4</v>
      </c>
      <c r="L30" s="447">
        <f>'[1]F_Inputs'!AH44</f>
        <v>102.2</v>
      </c>
      <c r="M30" s="447">
        <f>'[1]F_Inputs'!AM44</f>
        <v>105</v>
      </c>
      <c r="N30" s="409">
        <f>'[2]2019 update'!L88</f>
        <v>107.1</v>
      </c>
      <c r="O30" s="412">
        <f>'[2]2019 update'!L100</f>
        <v>108.95283</v>
      </c>
      <c r="P30" s="411">
        <f t="shared" si="11"/>
        <v>111.1318866</v>
      </c>
      <c r="Q30" s="409">
        <f t="shared" si="11"/>
        <v>113.354524332</v>
      </c>
      <c r="R30" s="409">
        <f t="shared" si="11"/>
        <v>115.62161481864</v>
      </c>
      <c r="S30" s="409">
        <f t="shared" si="11"/>
        <v>117.9340471150128</v>
      </c>
      <c r="T30" s="412">
        <f t="shared" si="11"/>
        <v>120.29272805731306</v>
      </c>
      <c r="U30" s="413">
        <f t="shared" si="11"/>
        <v>122.69858261845931</v>
      </c>
      <c r="V30" s="409">
        <f t="shared" si="11"/>
        <v>125.1525542708285</v>
      </c>
      <c r="W30" s="409">
        <f t="shared" si="11"/>
        <v>127.65560535624508</v>
      </c>
      <c r="X30" s="409">
        <f t="shared" si="11"/>
        <v>130.20871746337</v>
      </c>
      <c r="Y30" s="412">
        <f t="shared" si="11"/>
        <v>132.8128918126374</v>
      </c>
      <c r="Z30" s="370"/>
      <c r="AA30" s="419"/>
      <c r="AB30" s="420"/>
      <c r="AD30" s="401">
        <f t="shared" si="9"/>
        <v>0</v>
      </c>
      <c r="AE30" s="401"/>
      <c r="AG30" s="449"/>
      <c r="AH30" s="402">
        <f t="shared" si="12"/>
        <v>0</v>
      </c>
      <c r="AI30" s="402">
        <f t="shared" si="12"/>
        <v>0</v>
      </c>
      <c r="AJ30" s="402">
        <f t="shared" si="10"/>
        <v>0</v>
      </c>
      <c r="AK30" s="402">
        <f t="shared" si="10"/>
        <v>0</v>
      </c>
      <c r="AL30" s="402">
        <f t="shared" si="10"/>
        <v>0</v>
      </c>
      <c r="AM30" s="402">
        <f t="shared" si="10"/>
        <v>0</v>
      </c>
      <c r="AN30" s="402">
        <f t="shared" si="10"/>
        <v>0</v>
      </c>
      <c r="AO30" s="402">
        <f t="shared" si="10"/>
        <v>0</v>
      </c>
      <c r="AP30" s="402">
        <f t="shared" si="10"/>
        <v>0</v>
      </c>
      <c r="AQ30" s="402">
        <f t="shared" si="10"/>
        <v>0</v>
      </c>
      <c r="AR30" s="402">
        <f t="shared" si="10"/>
        <v>0</v>
      </c>
      <c r="AS30" s="402">
        <f t="shared" si="10"/>
        <v>0</v>
      </c>
      <c r="AT30" s="449"/>
      <c r="AV30" s="449"/>
      <c r="AW30" s="385"/>
      <c r="AX30" s="385"/>
      <c r="AY30" s="385"/>
      <c r="AZ30" s="385"/>
      <c r="BA30" s="385"/>
      <c r="BB30" s="385"/>
      <c r="BC30" s="385"/>
      <c r="BD30" s="385"/>
      <c r="BE30" s="385"/>
      <c r="BF30" s="385"/>
      <c r="BG30" s="385"/>
      <c r="BH30" s="385"/>
      <c r="BI30" s="385"/>
      <c r="BJ30" s="385"/>
      <c r="BK30" s="449"/>
    </row>
    <row r="31" spans="2:63" ht="14.25">
      <c r="B31" s="403">
        <v>24</v>
      </c>
      <c r="C31" s="421" t="s">
        <v>748</v>
      </c>
      <c r="D31" s="451" t="s">
        <v>489</v>
      </c>
      <c r="E31" s="422" t="s">
        <v>443</v>
      </c>
      <c r="F31" s="423">
        <v>1</v>
      </c>
      <c r="G31" s="446">
        <f>'[1]F_Inputs'!I45</f>
        <v>94.7</v>
      </c>
      <c r="H31" s="447">
        <f>'[1]F_Inputs'!N45</f>
        <v>97</v>
      </c>
      <c r="I31" s="447">
        <f>'[1]F_Inputs'!S45</f>
        <v>98.7</v>
      </c>
      <c r="J31" s="447">
        <f>'[1]F_Inputs'!X45</f>
        <v>99.2</v>
      </c>
      <c r="K31" s="447">
        <f>'[1]F_Inputs'!AC45</f>
        <v>99.9</v>
      </c>
      <c r="L31" s="447">
        <f>'[1]F_Inputs'!AH45</f>
        <v>101.8</v>
      </c>
      <c r="M31" s="447">
        <f>'[1]F_Inputs'!AM45</f>
        <v>104.5</v>
      </c>
      <c r="N31" s="409">
        <f>'[2]2019 update'!L89</f>
        <v>106.4</v>
      </c>
      <c r="O31" s="412">
        <f>'[2]2019 update'!L101</f>
        <v>108.69824000000001</v>
      </c>
      <c r="P31" s="411">
        <f t="shared" si="11"/>
        <v>110.87220480000002</v>
      </c>
      <c r="Q31" s="409">
        <f t="shared" si="11"/>
        <v>113.08964889600003</v>
      </c>
      <c r="R31" s="409">
        <f t="shared" si="11"/>
        <v>115.35144187392004</v>
      </c>
      <c r="S31" s="409">
        <f t="shared" si="11"/>
        <v>117.65847071139844</v>
      </c>
      <c r="T31" s="412">
        <f t="shared" si="11"/>
        <v>120.01164012562641</v>
      </c>
      <c r="U31" s="413">
        <f t="shared" si="11"/>
        <v>122.41187292813895</v>
      </c>
      <c r="V31" s="409">
        <f t="shared" si="11"/>
        <v>124.86011038670173</v>
      </c>
      <c r="W31" s="409">
        <f t="shared" si="11"/>
        <v>127.35731259443577</v>
      </c>
      <c r="X31" s="409">
        <f t="shared" si="11"/>
        <v>129.90445884632447</v>
      </c>
      <c r="Y31" s="412">
        <f t="shared" si="11"/>
        <v>132.50254802325097</v>
      </c>
      <c r="Z31" s="370"/>
      <c r="AA31" s="419"/>
      <c r="AB31" s="420"/>
      <c r="AD31" s="401">
        <f t="shared" si="9"/>
        <v>0</v>
      </c>
      <c r="AE31" s="401"/>
      <c r="AG31" s="367"/>
      <c r="AH31" s="402">
        <f t="shared" si="12"/>
        <v>0</v>
      </c>
      <c r="AI31" s="402">
        <f t="shared" si="12"/>
        <v>0</v>
      </c>
      <c r="AJ31" s="402">
        <f t="shared" si="10"/>
        <v>0</v>
      </c>
      <c r="AK31" s="402">
        <f t="shared" si="10"/>
        <v>0</v>
      </c>
      <c r="AL31" s="402">
        <f t="shared" si="10"/>
        <v>0</v>
      </c>
      <c r="AM31" s="402">
        <f t="shared" si="10"/>
        <v>0</v>
      </c>
      <c r="AN31" s="402">
        <f t="shared" si="10"/>
        <v>0</v>
      </c>
      <c r="AO31" s="402">
        <f t="shared" si="10"/>
        <v>0</v>
      </c>
      <c r="AP31" s="402">
        <f t="shared" si="10"/>
        <v>0</v>
      </c>
      <c r="AQ31" s="402">
        <f t="shared" si="10"/>
        <v>0</v>
      </c>
      <c r="AR31" s="402">
        <f t="shared" si="10"/>
        <v>0</v>
      </c>
      <c r="AS31" s="402">
        <f t="shared" si="10"/>
        <v>0</v>
      </c>
      <c r="AT31" s="367"/>
      <c r="AV31" s="367"/>
      <c r="AW31" s="385"/>
      <c r="AX31" s="385"/>
      <c r="AY31" s="385"/>
      <c r="AZ31" s="385"/>
      <c r="BA31" s="385"/>
      <c r="BB31" s="385"/>
      <c r="BC31" s="385"/>
      <c r="BD31" s="385"/>
      <c r="BE31" s="385"/>
      <c r="BF31" s="385"/>
      <c r="BG31" s="385"/>
      <c r="BH31" s="385"/>
      <c r="BI31" s="385"/>
      <c r="BJ31" s="385"/>
      <c r="BK31" s="367"/>
    </row>
    <row r="32" spans="2:63" ht="14.25">
      <c r="B32" s="403">
        <v>25</v>
      </c>
      <c r="C32" s="421" t="s">
        <v>749</v>
      </c>
      <c r="D32" s="451" t="s">
        <v>490</v>
      </c>
      <c r="E32" s="422" t="s">
        <v>443</v>
      </c>
      <c r="F32" s="423">
        <v>1</v>
      </c>
      <c r="G32" s="446">
        <f>'[1]F_Inputs'!I46</f>
        <v>95.2</v>
      </c>
      <c r="H32" s="447">
        <f>'[1]F_Inputs'!N46</f>
        <v>97.5</v>
      </c>
      <c r="I32" s="447">
        <f>'[1]F_Inputs'!S46</f>
        <v>99.1</v>
      </c>
      <c r="J32" s="447">
        <f>'[1]F_Inputs'!X46</f>
        <v>99.5</v>
      </c>
      <c r="K32" s="447">
        <f>'[1]F_Inputs'!AC46</f>
        <v>100.1</v>
      </c>
      <c r="L32" s="447">
        <f>'[1]F_Inputs'!AH46</f>
        <v>102.4</v>
      </c>
      <c r="M32" s="447">
        <f>'[1]F_Inputs'!AM46</f>
        <v>104.9</v>
      </c>
      <c r="N32" s="409">
        <f>'[2]2019 update'!L90</f>
        <v>106.8</v>
      </c>
      <c r="O32" s="412">
        <f>'[2]2019 update'!L102</f>
        <v>108.88260000000001</v>
      </c>
      <c r="P32" s="411">
        <f t="shared" si="11"/>
        <v>111.06025200000002</v>
      </c>
      <c r="Q32" s="409">
        <f t="shared" si="11"/>
        <v>113.28145704000002</v>
      </c>
      <c r="R32" s="409">
        <f t="shared" si="11"/>
        <v>115.54708618080002</v>
      </c>
      <c r="S32" s="409">
        <f t="shared" si="11"/>
        <v>117.85802790441602</v>
      </c>
      <c r="T32" s="412">
        <f t="shared" si="11"/>
        <v>120.21518846250434</v>
      </c>
      <c r="U32" s="413">
        <f t="shared" si="11"/>
        <v>122.61949223175444</v>
      </c>
      <c r="V32" s="409">
        <f t="shared" si="11"/>
        <v>125.07188207638953</v>
      </c>
      <c r="W32" s="409">
        <f t="shared" si="11"/>
        <v>127.57331971791731</v>
      </c>
      <c r="X32" s="409">
        <f t="shared" si="11"/>
        <v>130.12478611227567</v>
      </c>
      <c r="Y32" s="412">
        <f t="shared" si="11"/>
        <v>132.7272818345212</v>
      </c>
      <c r="Z32" s="370"/>
      <c r="AA32" s="419"/>
      <c r="AB32" s="420"/>
      <c r="AD32" s="401">
        <f t="shared" si="9"/>
        <v>0</v>
      </c>
      <c r="AE32" s="401"/>
      <c r="AG32" s="367"/>
      <c r="AH32" s="402">
        <f t="shared" si="12"/>
        <v>0</v>
      </c>
      <c r="AI32" s="402">
        <f t="shared" si="12"/>
        <v>0</v>
      </c>
      <c r="AJ32" s="402">
        <f t="shared" si="10"/>
        <v>0</v>
      </c>
      <c r="AK32" s="402">
        <f t="shared" si="10"/>
        <v>0</v>
      </c>
      <c r="AL32" s="402">
        <f t="shared" si="10"/>
        <v>0</v>
      </c>
      <c r="AM32" s="402">
        <f t="shared" si="10"/>
        <v>0</v>
      </c>
      <c r="AN32" s="402">
        <f t="shared" si="10"/>
        <v>0</v>
      </c>
      <c r="AO32" s="402">
        <f t="shared" si="10"/>
        <v>0</v>
      </c>
      <c r="AP32" s="402">
        <f t="shared" si="10"/>
        <v>0</v>
      </c>
      <c r="AQ32" s="402">
        <f t="shared" si="10"/>
        <v>0</v>
      </c>
      <c r="AR32" s="402">
        <f t="shared" si="10"/>
        <v>0</v>
      </c>
      <c r="AS32" s="402">
        <f t="shared" si="10"/>
        <v>0</v>
      </c>
      <c r="AT32" s="367"/>
      <c r="AV32" s="367"/>
      <c r="AW32" s="385"/>
      <c r="AX32" s="385"/>
      <c r="AY32" s="385"/>
      <c r="AZ32" s="385"/>
      <c r="BA32" s="385"/>
      <c r="BB32" s="385"/>
      <c r="BC32" s="385"/>
      <c r="BD32" s="385"/>
      <c r="BE32" s="385"/>
      <c r="BF32" s="385"/>
      <c r="BG32" s="385"/>
      <c r="BH32" s="385"/>
      <c r="BI32" s="385"/>
      <c r="BJ32" s="385"/>
      <c r="BK32" s="367"/>
    </row>
    <row r="33" spans="2:63" ht="15" thickBot="1">
      <c r="B33" s="425">
        <v>26</v>
      </c>
      <c r="C33" s="426" t="s">
        <v>750</v>
      </c>
      <c r="D33" s="452" t="s">
        <v>491</v>
      </c>
      <c r="E33" s="427" t="s">
        <v>443</v>
      </c>
      <c r="F33" s="428">
        <v>1</v>
      </c>
      <c r="G33" s="453">
        <f>'[1]F_Inputs'!I47</f>
        <v>95.4</v>
      </c>
      <c r="H33" s="454">
        <f>'[1]F_Inputs'!N47</f>
        <v>97.8</v>
      </c>
      <c r="I33" s="454">
        <f>'[1]F_Inputs'!S47</f>
        <v>99.3</v>
      </c>
      <c r="J33" s="454">
        <f>'[1]F_Inputs'!X47</f>
        <v>99.6</v>
      </c>
      <c r="K33" s="454">
        <f>'[1]F_Inputs'!AC47</f>
        <v>100.4</v>
      </c>
      <c r="L33" s="454">
        <f>'[1]F_Inputs'!AH47</f>
        <v>102.7</v>
      </c>
      <c r="M33" s="454">
        <f>'[1]F_Inputs'!AM47</f>
        <v>105.1</v>
      </c>
      <c r="N33" s="409">
        <f>'[2]2019 update'!L91</f>
        <v>107.02332999999999</v>
      </c>
      <c r="O33" s="412">
        <f>'[2]2019 update'!L103</f>
        <v>109.088880269</v>
      </c>
      <c r="P33" s="431">
        <f t="shared" si="11"/>
        <v>111.27065787438</v>
      </c>
      <c r="Q33" s="432">
        <f t="shared" si="11"/>
        <v>113.49607103186761</v>
      </c>
      <c r="R33" s="432">
        <f t="shared" si="11"/>
        <v>115.76599245250497</v>
      </c>
      <c r="S33" s="432">
        <f t="shared" si="11"/>
        <v>118.08131230155507</v>
      </c>
      <c r="T33" s="433">
        <f t="shared" si="11"/>
        <v>120.44293854758618</v>
      </c>
      <c r="U33" s="434">
        <f t="shared" si="11"/>
        <v>122.8517973185379</v>
      </c>
      <c r="V33" s="432">
        <f t="shared" si="11"/>
        <v>125.30883326490867</v>
      </c>
      <c r="W33" s="432">
        <f t="shared" si="11"/>
        <v>127.81500993020684</v>
      </c>
      <c r="X33" s="432">
        <f t="shared" si="11"/>
        <v>130.371310128811</v>
      </c>
      <c r="Y33" s="433">
        <f t="shared" si="11"/>
        <v>132.9787363313872</v>
      </c>
      <c r="Z33" s="370"/>
      <c r="AA33" s="435"/>
      <c r="AB33" s="436"/>
      <c r="AD33" s="401">
        <f t="shared" si="9"/>
        <v>0</v>
      </c>
      <c r="AE33" s="401"/>
      <c r="AG33" s="367"/>
      <c r="AH33" s="402">
        <f t="shared" si="12"/>
        <v>0</v>
      </c>
      <c r="AI33" s="402">
        <f t="shared" si="12"/>
        <v>0</v>
      </c>
      <c r="AJ33" s="402">
        <f t="shared" si="10"/>
        <v>0</v>
      </c>
      <c r="AK33" s="402">
        <f t="shared" si="10"/>
        <v>0</v>
      </c>
      <c r="AL33" s="402">
        <f t="shared" si="10"/>
        <v>0</v>
      </c>
      <c r="AM33" s="402">
        <f t="shared" si="10"/>
        <v>0</v>
      </c>
      <c r="AN33" s="402">
        <f t="shared" si="10"/>
        <v>0</v>
      </c>
      <c r="AO33" s="402">
        <f t="shared" si="10"/>
        <v>0</v>
      </c>
      <c r="AP33" s="402">
        <f t="shared" si="10"/>
        <v>0</v>
      </c>
      <c r="AQ33" s="402">
        <f t="shared" si="10"/>
        <v>0</v>
      </c>
      <c r="AR33" s="402">
        <f t="shared" si="10"/>
        <v>0</v>
      </c>
      <c r="AS33" s="402">
        <f t="shared" si="10"/>
        <v>0</v>
      </c>
      <c r="AT33" s="367"/>
      <c r="AV33" s="367"/>
      <c r="AW33" s="386"/>
      <c r="AX33" s="385"/>
      <c r="AY33" s="385"/>
      <c r="AZ33" s="385"/>
      <c r="BA33" s="385"/>
      <c r="BB33" s="385"/>
      <c r="BC33" s="385"/>
      <c r="BD33" s="385"/>
      <c r="BE33" s="385"/>
      <c r="BF33" s="385"/>
      <c r="BG33" s="385"/>
      <c r="BH33" s="385"/>
      <c r="BI33" s="385"/>
      <c r="BJ33" s="385"/>
      <c r="BK33" s="367"/>
    </row>
    <row r="34" spans="2:63" ht="15" thickBot="1">
      <c r="B34" s="370"/>
      <c r="C34" s="370"/>
      <c r="D34" s="370"/>
      <c r="E34" s="370"/>
      <c r="F34" s="370"/>
      <c r="G34" s="370"/>
      <c r="H34" s="370"/>
      <c r="I34" s="370"/>
      <c r="J34" s="370"/>
      <c r="K34" s="370"/>
      <c r="L34" s="370"/>
      <c r="M34" s="437"/>
      <c r="N34" s="437"/>
      <c r="O34" s="437"/>
      <c r="P34" s="437"/>
      <c r="Q34" s="437"/>
      <c r="R34" s="437"/>
      <c r="S34" s="437"/>
      <c r="T34" s="437"/>
      <c r="U34" s="437"/>
      <c r="V34" s="437"/>
      <c r="W34" s="437"/>
      <c r="X34" s="437"/>
      <c r="Y34" s="437"/>
      <c r="Z34" s="437"/>
      <c r="AA34" s="437"/>
      <c r="AB34" s="455"/>
      <c r="AD34" s="401"/>
      <c r="AE34" s="401"/>
      <c r="AG34" s="367"/>
      <c r="AH34" s="385"/>
      <c r="AI34" s="385"/>
      <c r="AJ34" s="385"/>
      <c r="AK34" s="385"/>
      <c r="AL34" s="385"/>
      <c r="AM34" s="385"/>
      <c r="AN34" s="385"/>
      <c r="AO34" s="385"/>
      <c r="AP34" s="385"/>
      <c r="AQ34" s="385"/>
      <c r="AR34" s="385"/>
      <c r="AS34" s="385"/>
      <c r="AT34" s="367"/>
      <c r="AV34" s="367"/>
      <c r="AW34" s="385"/>
      <c r="AX34" s="385"/>
      <c r="AY34" s="385"/>
      <c r="AZ34" s="385"/>
      <c r="BA34" s="385"/>
      <c r="BB34" s="385"/>
      <c r="BC34" s="385"/>
      <c r="BD34" s="385"/>
      <c r="BE34" s="385"/>
      <c r="BF34" s="385"/>
      <c r="BG34" s="385"/>
      <c r="BH34" s="385"/>
      <c r="BI34" s="385"/>
      <c r="BJ34" s="385"/>
      <c r="BK34" s="367"/>
    </row>
    <row r="35" spans="2:63" ht="15" thickBot="1">
      <c r="B35" s="382" t="s">
        <v>751</v>
      </c>
      <c r="C35" s="383" t="s">
        <v>752</v>
      </c>
      <c r="D35" s="370"/>
      <c r="E35" s="370"/>
      <c r="F35" s="370"/>
      <c r="G35" s="370"/>
      <c r="H35" s="370"/>
      <c r="I35" s="370"/>
      <c r="J35" s="370"/>
      <c r="K35" s="370"/>
      <c r="L35" s="370"/>
      <c r="M35" s="437"/>
      <c r="N35" s="437"/>
      <c r="O35" s="437"/>
      <c r="P35" s="437"/>
      <c r="Q35" s="437"/>
      <c r="R35" s="437"/>
      <c r="S35" s="437"/>
      <c r="T35" s="437"/>
      <c r="U35" s="437"/>
      <c r="V35" s="437"/>
      <c r="W35" s="437"/>
      <c r="X35" s="437"/>
      <c r="Y35" s="437"/>
      <c r="Z35" s="370"/>
      <c r="AA35" s="439"/>
      <c r="AB35" s="439"/>
      <c r="AD35" s="401"/>
      <c r="AE35" s="401"/>
      <c r="AG35" s="456"/>
      <c r="AH35" s="385"/>
      <c r="AI35" s="385"/>
      <c r="AJ35" s="385"/>
      <c r="AK35" s="385"/>
      <c r="AL35" s="385"/>
      <c r="AM35" s="385"/>
      <c r="AN35" s="385"/>
      <c r="AO35" s="385"/>
      <c r="AP35" s="385"/>
      <c r="AQ35" s="385"/>
      <c r="AR35" s="385"/>
      <c r="AS35" s="385"/>
      <c r="AT35" s="456"/>
      <c r="AV35" s="456"/>
      <c r="AW35" s="385"/>
      <c r="AX35" s="385"/>
      <c r="AY35" s="385"/>
      <c r="AZ35" s="385"/>
      <c r="BA35" s="385"/>
      <c r="BB35" s="385"/>
      <c r="BC35" s="385"/>
      <c r="BD35" s="385"/>
      <c r="BE35" s="385"/>
      <c r="BF35" s="385"/>
      <c r="BG35" s="385"/>
      <c r="BH35" s="385"/>
      <c r="BI35" s="385"/>
      <c r="BJ35" s="385"/>
      <c r="BK35" s="456"/>
    </row>
    <row r="36" spans="2:63" ht="15" thickBot="1">
      <c r="B36" s="457">
        <v>27</v>
      </c>
      <c r="C36" s="458" t="s">
        <v>752</v>
      </c>
      <c r="D36" s="459" t="s">
        <v>753</v>
      </c>
      <c r="E36" s="459" t="s">
        <v>180</v>
      </c>
      <c r="F36" s="460">
        <v>2</v>
      </c>
      <c r="G36" s="370"/>
      <c r="H36" s="370"/>
      <c r="I36" s="370"/>
      <c r="J36" s="370"/>
      <c r="K36" s="370"/>
      <c r="L36" s="370"/>
      <c r="M36" s="437"/>
      <c r="N36" s="461">
        <f>N44</f>
        <v>0.030555639758707454</v>
      </c>
      <c r="O36" s="462">
        <f aca="true" t="shared" si="13" ref="O36:Y36">O44</f>
        <v>0.026119951760449345</v>
      </c>
      <c r="P36" s="463">
        <f t="shared" si="13"/>
        <v>0.030000000000000027</v>
      </c>
      <c r="Q36" s="464">
        <f t="shared" si="13"/>
        <v>0.030000000000000027</v>
      </c>
      <c r="R36" s="464">
        <f t="shared" si="13"/>
        <v>0.030000000000000027</v>
      </c>
      <c r="S36" s="464">
        <f t="shared" si="13"/>
        <v>0.030000000000000027</v>
      </c>
      <c r="T36" s="462">
        <f t="shared" si="13"/>
        <v>0.03000000000000025</v>
      </c>
      <c r="U36" s="463">
        <f t="shared" si="13"/>
        <v>0.030000000000000027</v>
      </c>
      <c r="V36" s="464">
        <f t="shared" si="13"/>
        <v>0.030000000000000027</v>
      </c>
      <c r="W36" s="464">
        <f t="shared" si="13"/>
        <v>0.029999999999999805</v>
      </c>
      <c r="X36" s="464">
        <f t="shared" si="13"/>
        <v>0.030000000000000027</v>
      </c>
      <c r="Y36" s="462">
        <f t="shared" si="13"/>
        <v>0.030000000000000027</v>
      </c>
      <c r="Z36" s="370"/>
      <c r="AA36" s="465"/>
      <c r="AB36" s="466"/>
      <c r="AD36" s="401">
        <f>IF(SUM(AH36:AS36)=0,0,$AH$5)</f>
        <v>0</v>
      </c>
      <c r="AE36" s="401"/>
      <c r="AG36" s="456"/>
      <c r="AH36" s="402">
        <f aca="true" t="shared" si="14" ref="AH36:AS36">IF(ISNUMBER(N36),0,1)</f>
        <v>0</v>
      </c>
      <c r="AI36" s="402">
        <f t="shared" si="14"/>
        <v>0</v>
      </c>
      <c r="AJ36" s="402">
        <f t="shared" si="14"/>
        <v>0</v>
      </c>
      <c r="AK36" s="402">
        <f t="shared" si="14"/>
        <v>0</v>
      </c>
      <c r="AL36" s="402">
        <f t="shared" si="14"/>
        <v>0</v>
      </c>
      <c r="AM36" s="402">
        <f t="shared" si="14"/>
        <v>0</v>
      </c>
      <c r="AN36" s="402">
        <f t="shared" si="14"/>
        <v>0</v>
      </c>
      <c r="AO36" s="402">
        <f t="shared" si="14"/>
        <v>0</v>
      </c>
      <c r="AP36" s="402">
        <f t="shared" si="14"/>
        <v>0</v>
      </c>
      <c r="AQ36" s="402">
        <f t="shared" si="14"/>
        <v>0</v>
      </c>
      <c r="AR36" s="402">
        <f t="shared" si="14"/>
        <v>0</v>
      </c>
      <c r="AS36" s="402">
        <f t="shared" si="14"/>
        <v>0</v>
      </c>
      <c r="AT36" s="456"/>
      <c r="AV36" s="456"/>
      <c r="AW36" s="385"/>
      <c r="AX36" s="385"/>
      <c r="AY36" s="385"/>
      <c r="AZ36" s="385"/>
      <c r="BA36" s="385"/>
      <c r="BB36" s="385"/>
      <c r="BC36" s="385"/>
      <c r="BD36" s="385"/>
      <c r="BE36" s="385"/>
      <c r="BF36" s="385"/>
      <c r="BG36" s="385"/>
      <c r="BH36" s="385"/>
      <c r="BI36" s="385"/>
      <c r="BJ36" s="385"/>
      <c r="BK36" s="456"/>
    </row>
    <row r="37" spans="2:63" ht="15" thickBot="1">
      <c r="B37" s="370"/>
      <c r="C37" s="370"/>
      <c r="D37" s="370"/>
      <c r="E37" s="370"/>
      <c r="F37" s="370"/>
      <c r="G37" s="370"/>
      <c r="H37" s="370"/>
      <c r="I37" s="370"/>
      <c r="J37" s="370"/>
      <c r="K37" s="370"/>
      <c r="L37" s="370"/>
      <c r="M37" s="437"/>
      <c r="N37" s="437"/>
      <c r="O37" s="437"/>
      <c r="P37" s="437"/>
      <c r="Q37" s="437"/>
      <c r="R37" s="437"/>
      <c r="S37" s="437"/>
      <c r="T37" s="437"/>
      <c r="U37" s="437"/>
      <c r="V37" s="437"/>
      <c r="W37" s="437"/>
      <c r="X37" s="437"/>
      <c r="Y37" s="437"/>
      <c r="Z37" s="370"/>
      <c r="AA37" s="439"/>
      <c r="AB37" s="439"/>
      <c r="AD37" s="401"/>
      <c r="AE37" s="401"/>
      <c r="AG37" s="456"/>
      <c r="AH37" s="385"/>
      <c r="AI37" s="385"/>
      <c r="AJ37" s="385"/>
      <c r="AK37" s="385"/>
      <c r="AL37" s="385"/>
      <c r="AM37" s="385"/>
      <c r="AN37" s="385"/>
      <c r="AO37" s="385"/>
      <c r="AP37" s="385"/>
      <c r="AQ37" s="385"/>
      <c r="AR37" s="385"/>
      <c r="AS37" s="385"/>
      <c r="AT37" s="456"/>
      <c r="AV37" s="456"/>
      <c r="AW37" s="385"/>
      <c r="AX37" s="385"/>
      <c r="AY37" s="385"/>
      <c r="AZ37" s="385"/>
      <c r="BA37" s="385"/>
      <c r="BB37" s="385"/>
      <c r="BC37" s="385"/>
      <c r="BD37" s="385"/>
      <c r="BE37" s="385"/>
      <c r="BF37" s="385"/>
      <c r="BG37" s="385"/>
      <c r="BH37" s="385"/>
      <c r="BI37" s="385"/>
      <c r="BJ37" s="385"/>
      <c r="BK37" s="456"/>
    </row>
    <row r="38" spans="2:63" ht="15" thickBot="1">
      <c r="B38" s="375" t="s">
        <v>754</v>
      </c>
      <c r="C38" s="440" t="s">
        <v>755</v>
      </c>
      <c r="D38" s="370"/>
      <c r="E38" s="370"/>
      <c r="F38" s="370"/>
      <c r="G38" s="370"/>
      <c r="H38" s="370"/>
      <c r="I38" s="370"/>
      <c r="J38" s="370"/>
      <c r="K38" s="370"/>
      <c r="L38" s="370"/>
      <c r="M38" s="437"/>
      <c r="N38" s="437"/>
      <c r="O38" s="437"/>
      <c r="P38" s="437"/>
      <c r="Q38" s="437"/>
      <c r="R38" s="437"/>
      <c r="S38" s="437"/>
      <c r="T38" s="437"/>
      <c r="U38" s="437"/>
      <c r="V38" s="437"/>
      <c r="W38" s="437"/>
      <c r="X38" s="437"/>
      <c r="Y38" s="437"/>
      <c r="Z38" s="370"/>
      <c r="AA38" s="439"/>
      <c r="AB38" s="439"/>
      <c r="AD38" s="401"/>
      <c r="AE38" s="401"/>
      <c r="AG38" s="456"/>
      <c r="AH38" s="385"/>
      <c r="AI38" s="385"/>
      <c r="AJ38" s="385"/>
      <c r="AK38" s="385"/>
      <c r="AL38" s="385"/>
      <c r="AM38" s="385"/>
      <c r="AN38" s="385"/>
      <c r="AO38" s="385"/>
      <c r="AP38" s="385"/>
      <c r="AQ38" s="385"/>
      <c r="AR38" s="385"/>
      <c r="AS38" s="385"/>
      <c r="AT38" s="456"/>
      <c r="AV38" s="456"/>
      <c r="AW38" s="467">
        <f>SUM(AX6:BJ6,AX21:BJ21)</f>
        <v>0</v>
      </c>
      <c r="AX38" s="385"/>
      <c r="AY38" s="385"/>
      <c r="AZ38" s="385"/>
      <c r="BA38" s="385"/>
      <c r="BB38" s="385"/>
      <c r="BC38" s="385"/>
      <c r="BD38" s="385"/>
      <c r="BE38" s="385"/>
      <c r="BF38" s="385"/>
      <c r="BG38" s="385"/>
      <c r="BH38" s="385"/>
      <c r="BI38" s="385"/>
      <c r="BJ38" s="385"/>
      <c r="BK38" s="456"/>
    </row>
    <row r="39" spans="2:63" ht="14.25">
      <c r="B39" s="387">
        <v>28</v>
      </c>
      <c r="C39" s="388" t="s">
        <v>756</v>
      </c>
      <c r="D39" s="389" t="s">
        <v>757</v>
      </c>
      <c r="E39" s="389" t="s">
        <v>443</v>
      </c>
      <c r="F39" s="390">
        <v>1</v>
      </c>
      <c r="G39" s="468">
        <f aca="true" t="shared" si="15" ref="G39:Y39">_xlfn.IFERROR(AVERAGE(G7:G18),0)</f>
        <v>237.3416666666667</v>
      </c>
      <c r="H39" s="468">
        <f t="shared" si="15"/>
        <v>244.67499999999998</v>
      </c>
      <c r="I39" s="468">
        <f t="shared" si="15"/>
        <v>251.73333333333335</v>
      </c>
      <c r="J39" s="469">
        <f t="shared" si="15"/>
        <v>256.6666666666667</v>
      </c>
      <c r="K39" s="468">
        <f t="shared" si="15"/>
        <v>259.43333333333334</v>
      </c>
      <c r="L39" s="470">
        <f t="shared" si="15"/>
        <v>264.99166666666673</v>
      </c>
      <c r="M39" s="471">
        <f t="shared" si="15"/>
        <v>274.90833333333336</v>
      </c>
      <c r="N39" s="472">
        <f t="shared" si="15"/>
        <v>283.30833333333334</v>
      </c>
      <c r="O39" s="473">
        <f t="shared" si="15"/>
        <v>290.7083333333333</v>
      </c>
      <c r="P39" s="474">
        <f t="shared" si="15"/>
        <v>299.4295833333333</v>
      </c>
      <c r="Q39" s="472">
        <f t="shared" si="15"/>
        <v>308.4124708333333</v>
      </c>
      <c r="R39" s="472">
        <f t="shared" si="15"/>
        <v>317.66484495833333</v>
      </c>
      <c r="S39" s="472">
        <f t="shared" si="15"/>
        <v>327.19479030708334</v>
      </c>
      <c r="T39" s="475">
        <f t="shared" si="15"/>
        <v>337.0106340162959</v>
      </c>
      <c r="U39" s="474">
        <f t="shared" si="15"/>
        <v>347.1209530367848</v>
      </c>
      <c r="V39" s="472">
        <f t="shared" si="15"/>
        <v>357.5345816278884</v>
      </c>
      <c r="W39" s="472">
        <f t="shared" si="15"/>
        <v>368.26061907672494</v>
      </c>
      <c r="X39" s="472">
        <f t="shared" si="15"/>
        <v>379.3084376490267</v>
      </c>
      <c r="Y39" s="475">
        <f t="shared" si="15"/>
        <v>390.6876907784975</v>
      </c>
      <c r="Z39" s="370"/>
      <c r="AA39" s="444" t="s">
        <v>758</v>
      </c>
      <c r="AB39" s="476"/>
      <c r="AD39" s="401"/>
      <c r="AE39" s="401"/>
      <c r="AG39" s="456"/>
      <c r="AH39" s="385"/>
      <c r="AI39" s="385"/>
      <c r="AJ39" s="385"/>
      <c r="AK39" s="385"/>
      <c r="AL39" s="385"/>
      <c r="AM39" s="385"/>
      <c r="AN39" s="385"/>
      <c r="AO39" s="385"/>
      <c r="AP39" s="385"/>
      <c r="AQ39" s="385"/>
      <c r="AR39" s="385"/>
      <c r="AS39" s="385"/>
      <c r="AT39" s="456"/>
      <c r="AV39" s="456"/>
      <c r="AW39" s="385"/>
      <c r="AX39" s="385"/>
      <c r="AY39" s="385"/>
      <c r="AZ39" s="385"/>
      <c r="BA39" s="385"/>
      <c r="BB39" s="385"/>
      <c r="BC39" s="385"/>
      <c r="BD39" s="385"/>
      <c r="BE39" s="385"/>
      <c r="BF39" s="385"/>
      <c r="BG39" s="385"/>
      <c r="BH39" s="385"/>
      <c r="BI39" s="385"/>
      <c r="BJ39" s="385"/>
      <c r="BK39" s="456"/>
    </row>
    <row r="40" spans="2:63" ht="15" thickBot="1">
      <c r="B40" s="425">
        <v>29</v>
      </c>
      <c r="C40" s="426" t="s">
        <v>759</v>
      </c>
      <c r="D40" s="452" t="s">
        <v>760</v>
      </c>
      <c r="E40" s="427" t="s">
        <v>443</v>
      </c>
      <c r="F40" s="428">
        <v>1</v>
      </c>
      <c r="G40" s="477">
        <f aca="true" t="shared" si="16" ref="G40:X40">_xlfn.IFERROR(AVERAGE(G22:G33),0)</f>
        <v>94.30833333333335</v>
      </c>
      <c r="H40" s="477">
        <f t="shared" si="16"/>
        <v>96.58333333333331</v>
      </c>
      <c r="I40" s="478">
        <f t="shared" si="16"/>
        <v>98.60000000000001</v>
      </c>
      <c r="J40" s="479">
        <f t="shared" si="16"/>
        <v>99.72499999999998</v>
      </c>
      <c r="K40" s="477">
        <f t="shared" si="16"/>
        <v>100.16666666666667</v>
      </c>
      <c r="L40" s="478">
        <f t="shared" si="16"/>
        <v>101.54166666666667</v>
      </c>
      <c r="M40" s="478">
        <f t="shared" si="16"/>
        <v>104.21666666666665</v>
      </c>
      <c r="N40" s="480">
        <f t="shared" si="16"/>
        <v>106.4352775</v>
      </c>
      <c r="O40" s="481">
        <f t="shared" si="16"/>
        <v>108.41376502241665</v>
      </c>
      <c r="P40" s="482">
        <f t="shared" si="16"/>
        <v>110.582040322865</v>
      </c>
      <c r="Q40" s="480">
        <f t="shared" si="16"/>
        <v>112.7936811293223</v>
      </c>
      <c r="R40" s="480">
        <f t="shared" si="16"/>
        <v>115.04955475190877</v>
      </c>
      <c r="S40" s="480">
        <f t="shared" si="16"/>
        <v>117.35054584694693</v>
      </c>
      <c r="T40" s="481">
        <f t="shared" si="16"/>
        <v>119.69755676388587</v>
      </c>
      <c r="U40" s="482">
        <f t="shared" si="16"/>
        <v>122.0915078991636</v>
      </c>
      <c r="V40" s="480">
        <f t="shared" si="16"/>
        <v>124.53333805714686</v>
      </c>
      <c r="W40" s="480">
        <f t="shared" si="16"/>
        <v>127.02400481828981</v>
      </c>
      <c r="X40" s="480">
        <f t="shared" si="16"/>
        <v>129.5644849146556</v>
      </c>
      <c r="Y40" s="481">
        <f>_xlfn.IFERROR(AVERAGE(Y22:Y33),0)</f>
        <v>132.1557746129487</v>
      </c>
      <c r="Z40" s="437"/>
      <c r="AA40" s="435" t="s">
        <v>761</v>
      </c>
      <c r="AB40" s="436"/>
      <c r="AD40" s="401"/>
      <c r="AE40" s="401"/>
      <c r="AG40" s="456"/>
      <c r="AH40" s="385"/>
      <c r="AI40" s="385"/>
      <c r="AJ40" s="385"/>
      <c r="AK40" s="385"/>
      <c r="AL40" s="385"/>
      <c r="AM40" s="385"/>
      <c r="AN40" s="385"/>
      <c r="AO40" s="385"/>
      <c r="AP40" s="385"/>
      <c r="AQ40" s="385"/>
      <c r="AR40" s="385"/>
      <c r="AS40" s="385"/>
      <c r="AT40" s="456"/>
      <c r="AV40" s="456"/>
      <c r="AW40" s="385"/>
      <c r="AX40" s="385"/>
      <c r="AY40" s="385"/>
      <c r="AZ40" s="385"/>
      <c r="BA40" s="385"/>
      <c r="BB40" s="385"/>
      <c r="BC40" s="385"/>
      <c r="BD40" s="385"/>
      <c r="BE40" s="385"/>
      <c r="BF40" s="385"/>
      <c r="BG40" s="385"/>
      <c r="BH40" s="385"/>
      <c r="BI40" s="385"/>
      <c r="BJ40" s="385"/>
      <c r="BK40" s="456"/>
    </row>
    <row r="41" spans="2:63" ht="15" thickBot="1">
      <c r="B41" s="370"/>
      <c r="C41" s="370"/>
      <c r="D41" s="370"/>
      <c r="E41" s="370"/>
      <c r="F41" s="370"/>
      <c r="G41" s="370"/>
      <c r="H41" s="483"/>
      <c r="I41" s="370"/>
      <c r="J41" s="370"/>
      <c r="K41" s="370"/>
      <c r="L41" s="370"/>
      <c r="M41" s="370"/>
      <c r="N41" s="484"/>
      <c r="O41" s="484"/>
      <c r="P41" s="484"/>
      <c r="Q41" s="484"/>
      <c r="R41" s="484"/>
      <c r="S41" s="484"/>
      <c r="T41" s="484"/>
      <c r="U41" s="484"/>
      <c r="V41" s="484"/>
      <c r="W41" s="484"/>
      <c r="X41" s="484"/>
      <c r="Y41" s="484"/>
      <c r="Z41" s="370"/>
      <c r="AA41" s="439"/>
      <c r="AB41" s="439"/>
      <c r="AD41" s="401"/>
      <c r="AE41" s="401"/>
      <c r="AG41" s="456"/>
      <c r="AH41" s="385"/>
      <c r="AI41" s="385"/>
      <c r="AJ41" s="385"/>
      <c r="AK41" s="385"/>
      <c r="AL41" s="385"/>
      <c r="AM41" s="385"/>
      <c r="AN41" s="385"/>
      <c r="AO41" s="385"/>
      <c r="AP41" s="385"/>
      <c r="AQ41" s="385"/>
      <c r="AR41" s="385"/>
      <c r="AS41" s="385"/>
      <c r="AT41" s="456"/>
      <c r="AV41" s="456"/>
      <c r="AW41" s="385"/>
      <c r="AX41" s="385"/>
      <c r="AY41" s="385"/>
      <c r="AZ41" s="385"/>
      <c r="BA41" s="385"/>
      <c r="BB41" s="385"/>
      <c r="BC41" s="385"/>
      <c r="BD41" s="385"/>
      <c r="BE41" s="385"/>
      <c r="BF41" s="385"/>
      <c r="BG41" s="385"/>
      <c r="BH41" s="385"/>
      <c r="BI41" s="385"/>
      <c r="BJ41" s="385"/>
      <c r="BK41" s="456"/>
    </row>
    <row r="42" spans="2:63" ht="15" thickBot="1">
      <c r="B42" s="375" t="s">
        <v>762</v>
      </c>
      <c r="C42" s="440" t="s">
        <v>763</v>
      </c>
      <c r="D42" s="370"/>
      <c r="E42" s="370"/>
      <c r="F42" s="370"/>
      <c r="G42" s="370"/>
      <c r="H42" s="370"/>
      <c r="I42" s="370"/>
      <c r="J42" s="370"/>
      <c r="K42" s="370"/>
      <c r="L42" s="370"/>
      <c r="M42" s="370"/>
      <c r="N42" s="484"/>
      <c r="O42" s="484"/>
      <c r="P42" s="484"/>
      <c r="Q42" s="484"/>
      <c r="R42" s="484"/>
      <c r="S42" s="484"/>
      <c r="T42" s="484"/>
      <c r="U42" s="484"/>
      <c r="V42" s="484"/>
      <c r="W42" s="484"/>
      <c r="X42" s="484"/>
      <c r="Y42" s="484"/>
      <c r="Z42" s="370"/>
      <c r="AA42" s="439"/>
      <c r="AB42" s="439"/>
      <c r="AD42" s="401"/>
      <c r="AE42" s="401"/>
      <c r="AG42" s="456"/>
      <c r="AH42" s="385"/>
      <c r="AI42" s="385"/>
      <c r="AJ42" s="385"/>
      <c r="AK42" s="385"/>
      <c r="AL42" s="385"/>
      <c r="AM42" s="385"/>
      <c r="AN42" s="385"/>
      <c r="AO42" s="385"/>
      <c r="AP42" s="385"/>
      <c r="AQ42" s="385"/>
      <c r="AR42" s="385"/>
      <c r="AS42" s="385"/>
      <c r="AT42" s="456"/>
      <c r="AV42" s="456"/>
      <c r="AW42" s="385"/>
      <c r="AX42" s="385"/>
      <c r="AY42" s="385"/>
      <c r="AZ42" s="385"/>
      <c r="BA42" s="385"/>
      <c r="BB42" s="385"/>
      <c r="BC42" s="385"/>
      <c r="BD42" s="385"/>
      <c r="BE42" s="385"/>
      <c r="BF42" s="385"/>
      <c r="BG42" s="385"/>
      <c r="BH42" s="385"/>
      <c r="BI42" s="385"/>
      <c r="BJ42" s="385"/>
      <c r="BK42" s="456"/>
    </row>
    <row r="43" spans="2:63" ht="14.25">
      <c r="B43" s="387">
        <v>30</v>
      </c>
      <c r="C43" s="388" t="s">
        <v>764</v>
      </c>
      <c r="D43" s="389" t="s">
        <v>765</v>
      </c>
      <c r="E43" s="389" t="s">
        <v>180</v>
      </c>
      <c r="F43" s="390">
        <v>2</v>
      </c>
      <c r="G43" s="370"/>
      <c r="H43" s="485">
        <f aca="true" t="shared" si="17" ref="H43:Y43">IF(G14=0,0,H14/G14-1)</f>
        <v>0.029769392033542896</v>
      </c>
      <c r="I43" s="486">
        <f t="shared" si="17"/>
        <v>0.026465798045602673</v>
      </c>
      <c r="J43" s="487">
        <f t="shared" si="17"/>
        <v>0.01983339944466489</v>
      </c>
      <c r="K43" s="488">
        <f t="shared" si="17"/>
        <v>0.010501750291715295</v>
      </c>
      <c r="L43" s="489">
        <f t="shared" si="17"/>
        <v>0.021939953810623525</v>
      </c>
      <c r="M43" s="486">
        <f t="shared" si="17"/>
        <v>0.038794726930320156</v>
      </c>
      <c r="N43" s="490">
        <f t="shared" si="17"/>
        <v>0.03190717911530094</v>
      </c>
      <c r="O43" s="491">
        <f t="shared" si="17"/>
        <v>0.023190442726633842</v>
      </c>
      <c r="P43" s="492">
        <f t="shared" si="17"/>
        <v>0.030000000000000027</v>
      </c>
      <c r="Q43" s="490">
        <f t="shared" si="17"/>
        <v>0.030000000000000027</v>
      </c>
      <c r="R43" s="490">
        <f t="shared" si="17"/>
        <v>0.030000000000000027</v>
      </c>
      <c r="S43" s="490">
        <f t="shared" si="17"/>
        <v>0.030000000000000027</v>
      </c>
      <c r="T43" s="491">
        <f t="shared" si="17"/>
        <v>0.030000000000000027</v>
      </c>
      <c r="U43" s="492">
        <f t="shared" si="17"/>
        <v>0.030000000000000027</v>
      </c>
      <c r="V43" s="490">
        <f t="shared" si="17"/>
        <v>0.030000000000000027</v>
      </c>
      <c r="W43" s="490">
        <f t="shared" si="17"/>
        <v>0.030000000000000027</v>
      </c>
      <c r="X43" s="490">
        <f t="shared" si="17"/>
        <v>0.030000000000000027</v>
      </c>
      <c r="Y43" s="491">
        <f t="shared" si="17"/>
        <v>0.030000000000000027</v>
      </c>
      <c r="Z43" s="370"/>
      <c r="AA43" s="444" t="s">
        <v>766</v>
      </c>
      <c r="AB43" s="476"/>
      <c r="AD43" s="401"/>
      <c r="AE43" s="401"/>
      <c r="AG43" s="449"/>
      <c r="AH43" s="385"/>
      <c r="AI43" s="385"/>
      <c r="AJ43" s="385"/>
      <c r="AK43" s="385"/>
      <c r="AL43" s="385"/>
      <c r="AM43" s="385"/>
      <c r="AN43" s="385"/>
      <c r="AO43" s="385"/>
      <c r="AP43" s="385"/>
      <c r="AQ43" s="385"/>
      <c r="AR43" s="385"/>
      <c r="AS43" s="385"/>
      <c r="AT43" s="449"/>
      <c r="AV43" s="449"/>
      <c r="AW43" s="385"/>
      <c r="AX43" s="385"/>
      <c r="AY43" s="385"/>
      <c r="AZ43" s="385"/>
      <c r="BA43" s="385"/>
      <c r="BB43" s="385"/>
      <c r="BC43" s="385"/>
      <c r="BD43" s="385"/>
      <c r="BE43" s="385"/>
      <c r="BF43" s="385"/>
      <c r="BG43" s="385"/>
      <c r="BH43" s="385"/>
      <c r="BI43" s="385"/>
      <c r="BJ43" s="385"/>
      <c r="BK43" s="449"/>
    </row>
    <row r="44" spans="2:63" ht="14.25">
      <c r="B44" s="493">
        <v>31</v>
      </c>
      <c r="C44" s="421" t="s">
        <v>767</v>
      </c>
      <c r="D44" s="422" t="s">
        <v>768</v>
      </c>
      <c r="E44" s="422" t="s">
        <v>180</v>
      </c>
      <c r="F44" s="423">
        <v>2</v>
      </c>
      <c r="G44" s="370"/>
      <c r="H44" s="494">
        <f>IF(G39=0,0,H39/G39-1)</f>
        <v>0.03089779151012939</v>
      </c>
      <c r="I44" s="495">
        <f aca="true" t="shared" si="18" ref="I44:Y44">IF(H39=0,0,I39/H39-1)</f>
        <v>0.028847791287762714</v>
      </c>
      <c r="J44" s="496">
        <f t="shared" si="18"/>
        <v>0.01959745762711873</v>
      </c>
      <c r="K44" s="497">
        <f t="shared" si="18"/>
        <v>0.010779220779220777</v>
      </c>
      <c r="L44" s="495">
        <f t="shared" si="18"/>
        <v>0.021424900424001248</v>
      </c>
      <c r="M44" s="495">
        <f t="shared" si="18"/>
        <v>0.03742256045787595</v>
      </c>
      <c r="N44" s="498">
        <f t="shared" si="18"/>
        <v>0.030555639758707454</v>
      </c>
      <c r="O44" s="499">
        <f t="shared" si="18"/>
        <v>0.026119951760449345</v>
      </c>
      <c r="P44" s="500">
        <f t="shared" si="18"/>
        <v>0.030000000000000027</v>
      </c>
      <c r="Q44" s="498">
        <f t="shared" si="18"/>
        <v>0.030000000000000027</v>
      </c>
      <c r="R44" s="498">
        <f t="shared" si="18"/>
        <v>0.030000000000000027</v>
      </c>
      <c r="S44" s="498">
        <f t="shared" si="18"/>
        <v>0.030000000000000027</v>
      </c>
      <c r="T44" s="499">
        <f t="shared" si="18"/>
        <v>0.03000000000000025</v>
      </c>
      <c r="U44" s="500">
        <f t="shared" si="18"/>
        <v>0.030000000000000027</v>
      </c>
      <c r="V44" s="498">
        <f t="shared" si="18"/>
        <v>0.030000000000000027</v>
      </c>
      <c r="W44" s="498">
        <f t="shared" si="18"/>
        <v>0.029999999999999805</v>
      </c>
      <c r="X44" s="498">
        <f t="shared" si="18"/>
        <v>0.030000000000000027</v>
      </c>
      <c r="Y44" s="499">
        <f t="shared" si="18"/>
        <v>0.030000000000000027</v>
      </c>
      <c r="Z44" s="370"/>
      <c r="AA44" s="419" t="s">
        <v>769</v>
      </c>
      <c r="AB44" s="420"/>
      <c r="AD44" s="401"/>
      <c r="AE44" s="401"/>
      <c r="AG44" s="449"/>
      <c r="AH44" s="385"/>
      <c r="AI44" s="385"/>
      <c r="AJ44" s="385"/>
      <c r="AK44" s="385"/>
      <c r="AL44" s="385"/>
      <c r="AM44" s="385"/>
      <c r="AN44" s="385"/>
      <c r="AO44" s="385"/>
      <c r="AP44" s="385"/>
      <c r="AQ44" s="385"/>
      <c r="AR44" s="385"/>
      <c r="AS44" s="385"/>
      <c r="AT44" s="449"/>
      <c r="AV44" s="449"/>
      <c r="AW44" s="385"/>
      <c r="AX44" s="385"/>
      <c r="AY44" s="385"/>
      <c r="AZ44" s="385"/>
      <c r="BA44" s="385"/>
      <c r="BB44" s="385"/>
      <c r="BC44" s="385"/>
      <c r="BD44" s="385"/>
      <c r="BE44" s="385"/>
      <c r="BF44" s="385"/>
      <c r="BG44" s="385"/>
      <c r="BH44" s="385"/>
      <c r="BI44" s="385"/>
      <c r="BJ44" s="385"/>
      <c r="BK44" s="449"/>
    </row>
    <row r="45" spans="2:63" ht="14.25">
      <c r="B45" s="493">
        <v>32</v>
      </c>
      <c r="C45" s="421" t="s">
        <v>770</v>
      </c>
      <c r="D45" s="422" t="s">
        <v>771</v>
      </c>
      <c r="E45" s="422" t="s">
        <v>180</v>
      </c>
      <c r="F45" s="423">
        <v>2</v>
      </c>
      <c r="G45" s="370"/>
      <c r="H45" s="494">
        <f aca="true" t="shared" si="19" ref="H45:X45">IF(G18=0,0,H18/G18-1)</f>
        <v>0.032807308970099536</v>
      </c>
      <c r="I45" s="495">
        <f t="shared" si="19"/>
        <v>0.02452754322476891</v>
      </c>
      <c r="J45" s="496">
        <f t="shared" si="19"/>
        <v>0.009026687598116201</v>
      </c>
      <c r="K45" s="497">
        <f t="shared" si="19"/>
        <v>0.015558148580318898</v>
      </c>
      <c r="L45" s="495">
        <f t="shared" si="19"/>
        <v>0.0314055917273075</v>
      </c>
      <c r="M45" s="495">
        <f t="shared" si="19"/>
        <v>0.033419977720014815</v>
      </c>
      <c r="N45" s="498">
        <f t="shared" si="19"/>
        <v>0.02443406395975578</v>
      </c>
      <c r="O45" s="499">
        <f t="shared" si="19"/>
        <v>0.02841108383023494</v>
      </c>
      <c r="P45" s="500">
        <f t="shared" si="19"/>
        <v>0.030000000000000027</v>
      </c>
      <c r="Q45" s="498">
        <f t="shared" si="19"/>
        <v>0.030000000000000027</v>
      </c>
      <c r="R45" s="498">
        <f t="shared" si="19"/>
        <v>0.030000000000000027</v>
      </c>
      <c r="S45" s="498">
        <f t="shared" si="19"/>
        <v>0.030000000000000027</v>
      </c>
      <c r="T45" s="499">
        <f t="shared" si="19"/>
        <v>0.030000000000000027</v>
      </c>
      <c r="U45" s="500">
        <f t="shared" si="19"/>
        <v>0.030000000000000027</v>
      </c>
      <c r="V45" s="498">
        <f t="shared" si="19"/>
        <v>0.030000000000000027</v>
      </c>
      <c r="W45" s="498">
        <f t="shared" si="19"/>
        <v>0.030000000000000027</v>
      </c>
      <c r="X45" s="498">
        <f t="shared" si="19"/>
        <v>0.030000000000000027</v>
      </c>
      <c r="Y45" s="499">
        <f>IF(X18=0,0,Y18/X18-1)</f>
        <v>0.030000000000000027</v>
      </c>
      <c r="Z45" s="370"/>
      <c r="AA45" s="419" t="s">
        <v>772</v>
      </c>
      <c r="AB45" s="420"/>
      <c r="AD45" s="401"/>
      <c r="AE45" s="401"/>
      <c r="AG45" s="449"/>
      <c r="AH45" s="385"/>
      <c r="AI45" s="385"/>
      <c r="AJ45" s="385"/>
      <c r="AK45" s="385"/>
      <c r="AL45" s="385"/>
      <c r="AM45" s="385"/>
      <c r="AN45" s="385"/>
      <c r="AO45" s="385"/>
      <c r="AP45" s="385"/>
      <c r="AQ45" s="385"/>
      <c r="AR45" s="385"/>
      <c r="AS45" s="385"/>
      <c r="AT45" s="449"/>
      <c r="AV45" s="449"/>
      <c r="AW45" s="385"/>
      <c r="AX45" s="385"/>
      <c r="AY45" s="385"/>
      <c r="AZ45" s="385"/>
      <c r="BA45" s="385"/>
      <c r="BB45" s="385"/>
      <c r="BC45" s="385"/>
      <c r="BD45" s="385"/>
      <c r="BE45" s="385"/>
      <c r="BF45" s="385"/>
      <c r="BG45" s="385"/>
      <c r="BH45" s="385"/>
      <c r="BI45" s="385"/>
      <c r="BJ45" s="385"/>
      <c r="BK45" s="449"/>
    </row>
    <row r="46" spans="2:63" ht="14.25">
      <c r="B46" s="493">
        <v>33</v>
      </c>
      <c r="C46" s="421" t="s">
        <v>773</v>
      </c>
      <c r="D46" s="422" t="s">
        <v>774</v>
      </c>
      <c r="E46" s="422" t="s">
        <v>180</v>
      </c>
      <c r="F46" s="423">
        <v>2</v>
      </c>
      <c r="G46" s="370"/>
      <c r="H46" s="494">
        <f aca="true" t="shared" si="20" ref="H46:X46">IF(G29=0,0,H29/G29-1)</f>
        <v>0.02428722280887019</v>
      </c>
      <c r="I46" s="495">
        <f t="shared" si="20"/>
        <v>0.01855670103092777</v>
      </c>
      <c r="J46" s="496">
        <f t="shared" si="20"/>
        <v>0.011133603238866474</v>
      </c>
      <c r="K46" s="497">
        <f t="shared" si="20"/>
        <v>0.004004004004003914</v>
      </c>
      <c r="L46" s="495">
        <f t="shared" si="20"/>
        <v>0.014955134596211339</v>
      </c>
      <c r="M46" s="495">
        <f t="shared" si="20"/>
        <v>0.028487229862475427</v>
      </c>
      <c r="N46" s="498">
        <f t="shared" si="20"/>
        <v>0.021012416427889313</v>
      </c>
      <c r="O46" s="499">
        <f t="shared" si="20"/>
        <v>0.01639999999999997</v>
      </c>
      <c r="P46" s="500">
        <f t="shared" si="20"/>
        <v>0.020000000000000018</v>
      </c>
      <c r="Q46" s="498">
        <f t="shared" si="20"/>
        <v>0.020000000000000018</v>
      </c>
      <c r="R46" s="498">
        <f t="shared" si="20"/>
        <v>0.020000000000000018</v>
      </c>
      <c r="S46" s="498">
        <f t="shared" si="20"/>
        <v>0.020000000000000018</v>
      </c>
      <c r="T46" s="499">
        <f t="shared" si="20"/>
        <v>0.020000000000000018</v>
      </c>
      <c r="U46" s="500">
        <f t="shared" si="20"/>
        <v>0.020000000000000018</v>
      </c>
      <c r="V46" s="498">
        <f t="shared" si="20"/>
        <v>0.020000000000000018</v>
      </c>
      <c r="W46" s="498">
        <f t="shared" si="20"/>
        <v>0.020000000000000018</v>
      </c>
      <c r="X46" s="498">
        <f t="shared" si="20"/>
        <v>0.020000000000000018</v>
      </c>
      <c r="Y46" s="499">
        <f>IF(X29=0,0,Y29/X29-1)</f>
        <v>0.020000000000000018</v>
      </c>
      <c r="Z46" s="370"/>
      <c r="AA46" s="419" t="s">
        <v>775</v>
      </c>
      <c r="AB46" s="420"/>
      <c r="AD46" s="401"/>
      <c r="AE46" s="401"/>
      <c r="AG46" s="501"/>
      <c r="AH46" s="385"/>
      <c r="AI46" s="385"/>
      <c r="AJ46" s="385"/>
      <c r="AK46" s="385"/>
      <c r="AL46" s="385"/>
      <c r="AM46" s="385"/>
      <c r="AN46" s="385"/>
      <c r="AO46" s="385"/>
      <c r="AP46" s="385"/>
      <c r="AQ46" s="385"/>
      <c r="AR46" s="385"/>
      <c r="AS46" s="385"/>
      <c r="AT46" s="501"/>
      <c r="AV46" s="501"/>
      <c r="AW46" s="385"/>
      <c r="AX46" s="385"/>
      <c r="AY46" s="385"/>
      <c r="AZ46" s="385"/>
      <c r="BA46" s="385"/>
      <c r="BB46" s="385"/>
      <c r="BC46" s="385"/>
      <c r="BD46" s="385"/>
      <c r="BE46" s="385"/>
      <c r="BF46" s="385"/>
      <c r="BG46" s="385"/>
      <c r="BH46" s="385"/>
      <c r="BI46" s="385"/>
      <c r="BJ46" s="385"/>
      <c r="BK46" s="501"/>
    </row>
    <row r="47" spans="2:63" ht="14.25">
      <c r="B47" s="493">
        <v>34</v>
      </c>
      <c r="C47" s="421" t="s">
        <v>776</v>
      </c>
      <c r="D47" s="422" t="s">
        <v>777</v>
      </c>
      <c r="E47" s="422" t="s">
        <v>180</v>
      </c>
      <c r="F47" s="423">
        <v>2</v>
      </c>
      <c r="G47" s="370"/>
      <c r="H47" s="494">
        <f>IF(G40=0,0,H40/G40-1)</f>
        <v>0.024123000795263305</v>
      </c>
      <c r="I47" s="495">
        <f aca="true" t="shared" si="21" ref="I47:X47">IF(H40=0,0,I40/H40-1)</f>
        <v>0.02088006902502193</v>
      </c>
      <c r="J47" s="496">
        <f t="shared" si="21"/>
        <v>0.011409736308316099</v>
      </c>
      <c r="K47" s="497">
        <f t="shared" si="21"/>
        <v>0.004428845993148078</v>
      </c>
      <c r="L47" s="495">
        <f t="shared" si="21"/>
        <v>0.013727121464226277</v>
      </c>
      <c r="M47" s="495">
        <f t="shared" si="21"/>
        <v>0.026343865408288814</v>
      </c>
      <c r="N47" s="498">
        <f t="shared" si="21"/>
        <v>0.021288445546137957</v>
      </c>
      <c r="O47" s="499">
        <f t="shared" si="21"/>
        <v>0.018588644375138186</v>
      </c>
      <c r="P47" s="500">
        <f t="shared" si="21"/>
        <v>0.020000000000000018</v>
      </c>
      <c r="Q47" s="498">
        <f t="shared" si="21"/>
        <v>0.020000000000000018</v>
      </c>
      <c r="R47" s="498">
        <f t="shared" si="21"/>
        <v>0.02000000000000024</v>
      </c>
      <c r="S47" s="498">
        <f t="shared" si="21"/>
        <v>0.019999999999999796</v>
      </c>
      <c r="T47" s="499">
        <f t="shared" si="21"/>
        <v>0.020000000000000018</v>
      </c>
      <c r="U47" s="500">
        <f t="shared" si="21"/>
        <v>0.020000000000000018</v>
      </c>
      <c r="V47" s="498">
        <f t="shared" si="21"/>
        <v>0.020000000000000018</v>
      </c>
      <c r="W47" s="498">
        <f t="shared" si="21"/>
        <v>0.020000000000000018</v>
      </c>
      <c r="X47" s="498">
        <f t="shared" si="21"/>
        <v>0.019999999999999796</v>
      </c>
      <c r="Y47" s="499">
        <f>IF(X40=0,0,Y40/X40-1)</f>
        <v>0.020000000000000018</v>
      </c>
      <c r="Z47" s="370"/>
      <c r="AA47" s="419" t="s">
        <v>778</v>
      </c>
      <c r="AB47" s="420"/>
      <c r="AD47" s="401"/>
      <c r="AE47" s="401"/>
      <c r="AG47" s="501"/>
      <c r="AH47" s="385"/>
      <c r="AI47" s="385"/>
      <c r="AJ47" s="385"/>
      <c r="AK47" s="385"/>
      <c r="AL47" s="385"/>
      <c r="AM47" s="385"/>
      <c r="AN47" s="385"/>
      <c r="AO47" s="385"/>
      <c r="AP47" s="385"/>
      <c r="AQ47" s="385"/>
      <c r="AR47" s="385"/>
      <c r="AS47" s="385"/>
      <c r="AT47" s="501"/>
      <c r="AV47" s="501"/>
      <c r="AW47" s="385"/>
      <c r="AX47" s="385"/>
      <c r="AY47" s="385"/>
      <c r="AZ47" s="385"/>
      <c r="BA47" s="385"/>
      <c r="BB47" s="385"/>
      <c r="BC47" s="385"/>
      <c r="BD47" s="385"/>
      <c r="BE47" s="385"/>
      <c r="BF47" s="385"/>
      <c r="BG47" s="385"/>
      <c r="BH47" s="385"/>
      <c r="BI47" s="385"/>
      <c r="BJ47" s="385"/>
      <c r="BK47" s="501"/>
    </row>
    <row r="48" spans="2:63" ht="15" thickBot="1">
      <c r="B48" s="425">
        <v>35</v>
      </c>
      <c r="C48" s="426" t="s">
        <v>779</v>
      </c>
      <c r="D48" s="427" t="s">
        <v>780</v>
      </c>
      <c r="E48" s="427" t="s">
        <v>180</v>
      </c>
      <c r="F48" s="428">
        <v>2</v>
      </c>
      <c r="G48" s="370"/>
      <c r="H48" s="502">
        <f aca="true" t="shared" si="22" ref="H48:X48">IF(G33=0,0,H33/G33-1)</f>
        <v>0.02515723270440251</v>
      </c>
      <c r="I48" s="503">
        <f t="shared" si="22"/>
        <v>0.015337423312883347</v>
      </c>
      <c r="J48" s="504">
        <f t="shared" si="22"/>
        <v>0.0030211480362536403</v>
      </c>
      <c r="K48" s="505">
        <f t="shared" si="22"/>
        <v>0.008032128514056325</v>
      </c>
      <c r="L48" s="503">
        <f t="shared" si="22"/>
        <v>0.02290836653386452</v>
      </c>
      <c r="M48" s="503">
        <f t="shared" si="22"/>
        <v>0.023369036027263812</v>
      </c>
      <c r="N48" s="506">
        <f t="shared" si="22"/>
        <v>0.018299999999999983</v>
      </c>
      <c r="O48" s="507">
        <f t="shared" si="22"/>
        <v>0.019300000000000095</v>
      </c>
      <c r="P48" s="508">
        <f t="shared" si="22"/>
        <v>0.020000000000000018</v>
      </c>
      <c r="Q48" s="506">
        <f t="shared" si="22"/>
        <v>0.020000000000000018</v>
      </c>
      <c r="R48" s="506">
        <f t="shared" si="22"/>
        <v>0.020000000000000018</v>
      </c>
      <c r="S48" s="506">
        <f t="shared" si="22"/>
        <v>0.020000000000000018</v>
      </c>
      <c r="T48" s="507">
        <f t="shared" si="22"/>
        <v>0.020000000000000018</v>
      </c>
      <c r="U48" s="508">
        <f t="shared" si="22"/>
        <v>0.020000000000000018</v>
      </c>
      <c r="V48" s="506">
        <f t="shared" si="22"/>
        <v>0.020000000000000018</v>
      </c>
      <c r="W48" s="506">
        <f t="shared" si="22"/>
        <v>0.020000000000000018</v>
      </c>
      <c r="X48" s="506">
        <f t="shared" si="22"/>
        <v>0.020000000000000018</v>
      </c>
      <c r="Y48" s="507">
        <f>IF(X33=0,0,Y33/X33-1)</f>
        <v>0.020000000000000018</v>
      </c>
      <c r="Z48" s="370"/>
      <c r="AA48" s="419" t="s">
        <v>781</v>
      </c>
      <c r="AB48" s="420"/>
      <c r="AD48" s="401"/>
      <c r="AE48" s="401"/>
      <c r="AG48" s="501"/>
      <c r="AH48" s="385"/>
      <c r="AI48" s="385"/>
      <c r="AJ48" s="385"/>
      <c r="AK48" s="385"/>
      <c r="AL48" s="385"/>
      <c r="AM48" s="385"/>
      <c r="AN48" s="385"/>
      <c r="AO48" s="385"/>
      <c r="AP48" s="385"/>
      <c r="AQ48" s="385"/>
      <c r="AR48" s="385"/>
      <c r="AS48" s="385"/>
      <c r="AT48" s="501"/>
      <c r="AV48" s="501"/>
      <c r="AW48" s="385"/>
      <c r="AX48" s="385"/>
      <c r="AY48" s="385"/>
      <c r="AZ48" s="385"/>
      <c r="BA48" s="385"/>
      <c r="BB48" s="385"/>
      <c r="BC48" s="385"/>
      <c r="BD48" s="385"/>
      <c r="BE48" s="385"/>
      <c r="BF48" s="385"/>
      <c r="BG48" s="385"/>
      <c r="BH48" s="385"/>
      <c r="BI48" s="385"/>
      <c r="BJ48" s="385"/>
      <c r="BK48" s="501"/>
    </row>
    <row r="49" spans="2:63" ht="15" thickBot="1">
      <c r="B49" s="425">
        <v>36</v>
      </c>
      <c r="C49" s="426" t="s">
        <v>782</v>
      </c>
      <c r="D49" s="427" t="s">
        <v>783</v>
      </c>
      <c r="E49" s="427" t="s">
        <v>180</v>
      </c>
      <c r="F49" s="428">
        <v>2</v>
      </c>
      <c r="G49" s="370"/>
      <c r="H49" s="509">
        <f>H44-H47</f>
        <v>0.006774790714866086</v>
      </c>
      <c r="I49" s="503">
        <f>I44-I47</f>
        <v>0.007967722262740784</v>
      </c>
      <c r="J49" s="504">
        <f>J44-J47</f>
        <v>0.008187721318802632</v>
      </c>
      <c r="K49" s="505">
        <f>K44-K47</f>
        <v>0.006350374786072699</v>
      </c>
      <c r="L49" s="503">
        <f>L44-L47</f>
        <v>0.00769777895977497</v>
      </c>
      <c r="M49" s="503">
        <f aca="true" t="shared" si="23" ref="M49:X49">M44-M47</f>
        <v>0.01107869504958714</v>
      </c>
      <c r="N49" s="506">
        <f t="shared" si="23"/>
        <v>0.009267194212569496</v>
      </c>
      <c r="O49" s="507">
        <f t="shared" si="23"/>
        <v>0.007531307385311159</v>
      </c>
      <c r="P49" s="508">
        <f t="shared" si="23"/>
        <v>0.010000000000000009</v>
      </c>
      <c r="Q49" s="506">
        <f t="shared" si="23"/>
        <v>0.010000000000000009</v>
      </c>
      <c r="R49" s="506">
        <f t="shared" si="23"/>
        <v>0.009999999999999787</v>
      </c>
      <c r="S49" s="506">
        <f t="shared" si="23"/>
        <v>0.010000000000000231</v>
      </c>
      <c r="T49" s="507">
        <f t="shared" si="23"/>
        <v>0.010000000000000231</v>
      </c>
      <c r="U49" s="508">
        <f>U44-U47</f>
        <v>0.010000000000000009</v>
      </c>
      <c r="V49" s="506">
        <f t="shared" si="23"/>
        <v>0.010000000000000009</v>
      </c>
      <c r="W49" s="506">
        <f t="shared" si="23"/>
        <v>0.009999999999999787</v>
      </c>
      <c r="X49" s="506">
        <f t="shared" si="23"/>
        <v>0.010000000000000231</v>
      </c>
      <c r="Y49" s="507">
        <f>Y44-Y47</f>
        <v>0.010000000000000009</v>
      </c>
      <c r="Z49" s="370"/>
      <c r="AA49" s="435" t="s">
        <v>784</v>
      </c>
      <c r="AB49" s="436"/>
      <c r="AD49" s="401"/>
      <c r="AE49" s="401"/>
      <c r="AG49" s="501"/>
      <c r="AH49" s="385"/>
      <c r="AI49" s="385"/>
      <c r="AJ49" s="385"/>
      <c r="AK49" s="385"/>
      <c r="AL49" s="385"/>
      <c r="AM49" s="385"/>
      <c r="AN49" s="385"/>
      <c r="AO49" s="385"/>
      <c r="AP49" s="385"/>
      <c r="AQ49" s="385"/>
      <c r="AR49" s="385"/>
      <c r="AS49" s="385"/>
      <c r="AT49" s="501"/>
      <c r="AV49" s="501"/>
      <c r="AW49" s="385"/>
      <c r="AX49" s="385"/>
      <c r="AY49" s="385"/>
      <c r="AZ49" s="385"/>
      <c r="BA49" s="385"/>
      <c r="BB49" s="385"/>
      <c r="BC49" s="385"/>
      <c r="BD49" s="385"/>
      <c r="BE49" s="385"/>
      <c r="BF49" s="385"/>
      <c r="BG49" s="385"/>
      <c r="BH49" s="385"/>
      <c r="BI49" s="385"/>
      <c r="BJ49" s="385"/>
      <c r="BK49" s="501"/>
    </row>
    <row r="50" spans="2:63" ht="15" thickBot="1">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439"/>
      <c r="AB50" s="439"/>
      <c r="AD50" s="401"/>
      <c r="AE50" s="401"/>
      <c r="AG50" s="501"/>
      <c r="AH50" s="385"/>
      <c r="AI50" s="385"/>
      <c r="AJ50" s="385"/>
      <c r="AK50" s="385"/>
      <c r="AL50" s="385"/>
      <c r="AM50" s="385"/>
      <c r="AN50" s="385"/>
      <c r="AO50" s="385"/>
      <c r="AP50" s="385"/>
      <c r="AQ50" s="385"/>
      <c r="AR50" s="385"/>
      <c r="AS50" s="385"/>
      <c r="AT50" s="501"/>
      <c r="AV50" s="501"/>
      <c r="AW50" s="385"/>
      <c r="AX50" s="385"/>
      <c r="AY50" s="385"/>
      <c r="AZ50" s="385"/>
      <c r="BA50" s="385"/>
      <c r="BB50" s="385"/>
      <c r="BC50" s="385"/>
      <c r="BD50" s="385"/>
      <c r="BE50" s="385"/>
      <c r="BF50" s="385"/>
      <c r="BG50" s="385"/>
      <c r="BH50" s="385"/>
      <c r="BI50" s="385"/>
      <c r="BJ50" s="385"/>
      <c r="BK50" s="501"/>
    </row>
    <row r="51" spans="2:63" ht="15" thickBot="1">
      <c r="B51" s="375" t="s">
        <v>785</v>
      </c>
      <c r="C51" s="440" t="s">
        <v>786</v>
      </c>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439"/>
      <c r="AB51" s="439"/>
      <c r="AD51" s="401"/>
      <c r="AE51" s="401"/>
      <c r="AG51" s="501"/>
      <c r="AH51" s="385"/>
      <c r="AI51" s="385"/>
      <c r="AJ51" s="385"/>
      <c r="AK51" s="385"/>
      <c r="AL51" s="385"/>
      <c r="AM51" s="385"/>
      <c r="AN51" s="385"/>
      <c r="AO51" s="385"/>
      <c r="AP51" s="385"/>
      <c r="AQ51" s="385"/>
      <c r="AR51" s="385"/>
      <c r="AS51" s="385"/>
      <c r="AT51" s="501"/>
      <c r="AV51" s="501"/>
      <c r="AW51" s="385"/>
      <c r="AX51" s="385"/>
      <c r="AY51" s="385"/>
      <c r="AZ51" s="385"/>
      <c r="BA51" s="385"/>
      <c r="BB51" s="385"/>
      <c r="BC51" s="385"/>
      <c r="BD51" s="385"/>
      <c r="BE51" s="385"/>
      <c r="BF51" s="385"/>
      <c r="BG51" s="385"/>
      <c r="BH51" s="385"/>
      <c r="BI51" s="385"/>
      <c r="BJ51" s="385"/>
      <c r="BK51" s="501"/>
    </row>
    <row r="52" spans="2:63" ht="14.25">
      <c r="B52" s="387">
        <v>37</v>
      </c>
      <c r="C52" s="510" t="s">
        <v>787</v>
      </c>
      <c r="D52" s="511" t="s">
        <v>788</v>
      </c>
      <c r="E52" s="511" t="s">
        <v>180</v>
      </c>
      <c r="F52" s="512">
        <v>2</v>
      </c>
      <c r="G52" s="370"/>
      <c r="H52" s="370"/>
      <c r="I52" s="370"/>
      <c r="J52" s="370"/>
      <c r="K52" s="370"/>
      <c r="L52" s="370"/>
      <c r="M52" s="370"/>
      <c r="N52" s="370"/>
      <c r="O52" s="370"/>
      <c r="P52" s="513">
        <v>0.03</v>
      </c>
      <c r="Q52" s="514">
        <v>0.03</v>
      </c>
      <c r="R52" s="514">
        <v>0.03</v>
      </c>
      <c r="S52" s="514">
        <v>0.03</v>
      </c>
      <c r="T52" s="515">
        <v>0.03</v>
      </c>
      <c r="U52" s="516">
        <v>0.03</v>
      </c>
      <c r="V52" s="514">
        <v>0.03</v>
      </c>
      <c r="W52" s="514">
        <v>0.03</v>
      </c>
      <c r="X52" s="514">
        <v>0.03</v>
      </c>
      <c r="Y52" s="515">
        <v>0.03</v>
      </c>
      <c r="Z52" s="370"/>
      <c r="AA52" s="517"/>
      <c r="AB52" s="518"/>
      <c r="AD52" s="401">
        <f>IF(SUM(AH52:AS52)=0,0,$AH$5)</f>
        <v>0</v>
      </c>
      <c r="AE52" s="401"/>
      <c r="AG52" s="519"/>
      <c r="AH52" s="385"/>
      <c r="AI52" s="385"/>
      <c r="AJ52" s="402">
        <f aca="true" t="shared" si="24" ref="AJ52:AS53">IF(ISNUMBER(P52),0,1)</f>
        <v>0</v>
      </c>
      <c r="AK52" s="402">
        <f t="shared" si="24"/>
        <v>0</v>
      </c>
      <c r="AL52" s="402">
        <f t="shared" si="24"/>
        <v>0</v>
      </c>
      <c r="AM52" s="402">
        <f t="shared" si="24"/>
        <v>0</v>
      </c>
      <c r="AN52" s="402">
        <f t="shared" si="24"/>
        <v>0</v>
      </c>
      <c r="AO52" s="402">
        <f t="shared" si="24"/>
        <v>0</v>
      </c>
      <c r="AP52" s="402">
        <f t="shared" si="24"/>
        <v>0</v>
      </c>
      <c r="AQ52" s="402">
        <f t="shared" si="24"/>
        <v>0</v>
      </c>
      <c r="AR52" s="402">
        <f t="shared" si="24"/>
        <v>0</v>
      </c>
      <c r="AS52" s="402">
        <f t="shared" si="24"/>
        <v>0</v>
      </c>
      <c r="AT52" s="519"/>
      <c r="AV52" s="519"/>
      <c r="AW52" s="385"/>
      <c r="AX52" s="385"/>
      <c r="AY52" s="385"/>
      <c r="AZ52" s="385"/>
      <c r="BA52" s="385"/>
      <c r="BB52" s="385"/>
      <c r="BC52" s="385"/>
      <c r="BD52" s="385"/>
      <c r="BE52" s="385"/>
      <c r="BF52" s="385"/>
      <c r="BG52" s="385"/>
      <c r="BH52" s="385"/>
      <c r="BI52" s="385"/>
      <c r="BJ52" s="385"/>
      <c r="BK52" s="519"/>
    </row>
    <row r="53" spans="2:63" ht="15" thickBot="1">
      <c r="B53" s="425">
        <v>38</v>
      </c>
      <c r="C53" s="426" t="s">
        <v>789</v>
      </c>
      <c r="D53" s="427" t="s">
        <v>790</v>
      </c>
      <c r="E53" s="427" t="s">
        <v>180</v>
      </c>
      <c r="F53" s="428">
        <v>2</v>
      </c>
      <c r="G53" s="370"/>
      <c r="H53" s="370"/>
      <c r="I53" s="370"/>
      <c r="J53" s="370"/>
      <c r="K53" s="370"/>
      <c r="L53" s="370"/>
      <c r="M53" s="370"/>
      <c r="N53" s="370"/>
      <c r="O53" s="370"/>
      <c r="P53" s="520">
        <v>0.02</v>
      </c>
      <c r="Q53" s="521">
        <v>0.02</v>
      </c>
      <c r="R53" s="521">
        <v>0.02</v>
      </c>
      <c r="S53" s="521">
        <v>0.02</v>
      </c>
      <c r="T53" s="522">
        <v>0.02</v>
      </c>
      <c r="U53" s="523">
        <v>0.02</v>
      </c>
      <c r="V53" s="524">
        <v>0.02</v>
      </c>
      <c r="W53" s="524">
        <v>0.02</v>
      </c>
      <c r="X53" s="524">
        <v>0.02</v>
      </c>
      <c r="Y53" s="522">
        <v>0.02</v>
      </c>
      <c r="Z53" s="370"/>
      <c r="AA53" s="525"/>
      <c r="AB53" s="526"/>
      <c r="AD53" s="401">
        <f>IF(SUM(AH53:AS53)=0,0,$AH$5)</f>
        <v>0</v>
      </c>
      <c r="AE53" s="401"/>
      <c r="AG53" s="519"/>
      <c r="AH53" s="385"/>
      <c r="AI53" s="385"/>
      <c r="AJ53" s="402">
        <f t="shared" si="24"/>
        <v>0</v>
      </c>
      <c r="AK53" s="402">
        <f t="shared" si="24"/>
        <v>0</v>
      </c>
      <c r="AL53" s="402">
        <f t="shared" si="24"/>
        <v>0</v>
      </c>
      <c r="AM53" s="402">
        <f t="shared" si="24"/>
        <v>0</v>
      </c>
      <c r="AN53" s="402">
        <f t="shared" si="24"/>
        <v>0</v>
      </c>
      <c r="AO53" s="402">
        <f t="shared" si="24"/>
        <v>0</v>
      </c>
      <c r="AP53" s="402">
        <f t="shared" si="24"/>
        <v>0</v>
      </c>
      <c r="AQ53" s="402">
        <f t="shared" si="24"/>
        <v>0</v>
      </c>
      <c r="AR53" s="402">
        <f t="shared" si="24"/>
        <v>0</v>
      </c>
      <c r="AS53" s="402">
        <f t="shared" si="24"/>
        <v>0</v>
      </c>
      <c r="AT53" s="519"/>
      <c r="AV53" s="519"/>
      <c r="AW53" s="385"/>
      <c r="AX53" s="385"/>
      <c r="AY53" s="385"/>
      <c r="AZ53" s="385"/>
      <c r="BA53" s="385"/>
      <c r="BB53" s="385"/>
      <c r="BC53" s="385"/>
      <c r="BD53" s="385"/>
      <c r="BE53" s="385"/>
      <c r="BF53" s="385"/>
      <c r="BG53" s="385"/>
      <c r="BH53" s="385"/>
      <c r="BI53" s="385"/>
      <c r="BJ53" s="385"/>
      <c r="BK53" s="519"/>
    </row>
    <row r="54" spans="2:46" ht="14.25">
      <c r="B54" s="370"/>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D54" s="401"/>
      <c r="AE54" s="527"/>
      <c r="AG54" s="528"/>
      <c r="AH54" s="385"/>
      <c r="AI54" s="385"/>
      <c r="AJ54" s="385"/>
      <c r="AK54" s="385"/>
      <c r="AL54" s="385"/>
      <c r="AM54" s="385"/>
      <c r="AN54" s="385"/>
      <c r="AO54" s="385"/>
      <c r="AP54" s="385"/>
      <c r="AQ54" s="385"/>
      <c r="AR54" s="385"/>
      <c r="AS54" s="385"/>
      <c r="AT54" s="528"/>
    </row>
    <row r="55" spans="2:46" ht="14.25">
      <c r="B55" s="529" t="s">
        <v>791</v>
      </c>
      <c r="C55" s="530"/>
      <c r="D55" s="530"/>
      <c r="E55" s="530"/>
      <c r="F55" s="530"/>
      <c r="G55" s="530"/>
      <c r="H55" s="530"/>
      <c r="I55" s="530"/>
      <c r="J55" s="530"/>
      <c r="K55" s="531"/>
      <c r="L55" s="531"/>
      <c r="M55" s="532"/>
      <c r="N55" s="532"/>
      <c r="O55" s="532"/>
      <c r="P55" s="533"/>
      <c r="Q55" s="533"/>
      <c r="R55" s="533"/>
      <c r="S55" s="533"/>
      <c r="T55" s="533"/>
      <c r="U55" s="370"/>
      <c r="V55" s="370"/>
      <c r="W55" s="370"/>
      <c r="X55" s="370"/>
      <c r="Y55" s="370"/>
      <c r="Z55" s="370"/>
      <c r="AA55" s="370"/>
      <c r="AD55" s="401"/>
      <c r="AE55" s="527"/>
      <c r="AG55" s="528"/>
      <c r="AH55" s="385"/>
      <c r="AI55" s="385"/>
      <c r="AJ55" s="385"/>
      <c r="AK55" s="385"/>
      <c r="AL55" s="385"/>
      <c r="AM55" s="385"/>
      <c r="AN55" s="385"/>
      <c r="AO55" s="385"/>
      <c r="AP55" s="385"/>
      <c r="AQ55" s="385"/>
      <c r="AR55" s="385"/>
      <c r="AS55" s="385"/>
      <c r="AT55" s="528"/>
    </row>
    <row r="56" spans="2:46" ht="14.25">
      <c r="B56" s="534"/>
      <c r="C56" s="535" t="s">
        <v>792</v>
      </c>
      <c r="D56" s="535"/>
      <c r="E56" s="530"/>
      <c r="F56" s="530"/>
      <c r="G56" s="530"/>
      <c r="H56" s="530"/>
      <c r="I56" s="530"/>
      <c r="J56" s="530"/>
      <c r="K56" s="530"/>
      <c r="L56" s="530"/>
      <c r="M56" s="532"/>
      <c r="N56" s="532"/>
      <c r="O56" s="532"/>
      <c r="P56" s="533"/>
      <c r="Q56" s="533"/>
      <c r="R56" s="533"/>
      <c r="S56" s="533"/>
      <c r="T56" s="533"/>
      <c r="U56" s="370"/>
      <c r="V56" s="370"/>
      <c r="W56" s="370"/>
      <c r="X56" s="370"/>
      <c r="Y56" s="370"/>
      <c r="Z56" s="370"/>
      <c r="AA56" s="370"/>
      <c r="AD56" s="536"/>
      <c r="AE56" s="537"/>
      <c r="AG56" s="528"/>
      <c r="AH56" s="538">
        <f>SUM(AH24:AS54)</f>
        <v>0</v>
      </c>
      <c r="AI56" s="385"/>
      <c r="AJ56" s="385"/>
      <c r="AK56" s="385"/>
      <c r="AL56" s="385"/>
      <c r="AM56" s="385"/>
      <c r="AN56" s="385"/>
      <c r="AO56" s="385"/>
      <c r="AP56" s="385"/>
      <c r="AQ56" s="385"/>
      <c r="AR56" s="385"/>
      <c r="AS56" s="385"/>
      <c r="AT56" s="528"/>
    </row>
    <row r="57" spans="2:46" ht="14.25">
      <c r="B57" s="539"/>
      <c r="C57" s="535" t="s">
        <v>793</v>
      </c>
      <c r="D57" s="535"/>
      <c r="E57" s="530"/>
      <c r="F57" s="530"/>
      <c r="G57" s="530"/>
      <c r="H57" s="530"/>
      <c r="I57" s="530"/>
      <c r="J57" s="530"/>
      <c r="K57" s="530"/>
      <c r="L57" s="530"/>
      <c r="M57" s="532"/>
      <c r="N57" s="532"/>
      <c r="O57" s="532"/>
      <c r="P57" s="533"/>
      <c r="Q57" s="533"/>
      <c r="R57" s="533"/>
      <c r="S57" s="533"/>
      <c r="T57" s="533"/>
      <c r="U57" s="370"/>
      <c r="V57" s="370"/>
      <c r="W57" s="370"/>
      <c r="X57" s="370"/>
      <c r="Y57" s="370"/>
      <c r="Z57" s="370"/>
      <c r="AA57" s="370"/>
      <c r="AG57" s="528"/>
      <c r="AH57" s="540"/>
      <c r="AT57" s="528"/>
    </row>
    <row r="58" spans="2:46" ht="14.25">
      <c r="B58" s="542"/>
      <c r="C58" s="535" t="s">
        <v>794</v>
      </c>
      <c r="D58" s="535"/>
      <c r="E58" s="530"/>
      <c r="F58" s="530"/>
      <c r="G58" s="530"/>
      <c r="H58" s="530"/>
      <c r="I58" s="530"/>
      <c r="J58" s="530"/>
      <c r="K58" s="530"/>
      <c r="L58" s="530"/>
      <c r="M58" s="532"/>
      <c r="N58" s="532"/>
      <c r="O58" s="532"/>
      <c r="P58" s="533"/>
      <c r="Q58" s="533"/>
      <c r="R58" s="533"/>
      <c r="S58" s="533"/>
      <c r="T58" s="533"/>
      <c r="U58" s="370"/>
      <c r="V58" s="370"/>
      <c r="W58" s="370"/>
      <c r="X58" s="370"/>
      <c r="Y58" s="370"/>
      <c r="Z58" s="370"/>
      <c r="AA58" s="370"/>
      <c r="AG58" s="528"/>
      <c r="AH58" s="543"/>
      <c r="AT58" s="528"/>
    </row>
    <row r="59" spans="2:46" ht="14.25">
      <c r="B59" s="544"/>
      <c r="C59" s="535" t="s">
        <v>795</v>
      </c>
      <c r="D59" s="535"/>
      <c r="E59" s="530"/>
      <c r="F59" s="530"/>
      <c r="G59" s="530"/>
      <c r="H59" s="530"/>
      <c r="I59" s="530"/>
      <c r="J59" s="530"/>
      <c r="K59" s="530"/>
      <c r="L59" s="530"/>
      <c r="M59" s="532"/>
      <c r="N59" s="532"/>
      <c r="O59" s="532"/>
      <c r="P59" s="533"/>
      <c r="Q59" s="533"/>
      <c r="R59" s="533"/>
      <c r="S59" s="533"/>
      <c r="T59" s="533"/>
      <c r="U59" s="370"/>
      <c r="V59" s="370"/>
      <c r="W59" s="370"/>
      <c r="X59" s="370"/>
      <c r="Y59" s="370"/>
      <c r="Z59" s="370"/>
      <c r="AA59" s="370"/>
      <c r="AG59" s="528"/>
      <c r="AH59" s="543"/>
      <c r="AT59" s="528"/>
    </row>
    <row r="60" spans="2:46" ht="15" thickBot="1">
      <c r="B60" s="532"/>
      <c r="C60" s="532"/>
      <c r="D60" s="532"/>
      <c r="E60" s="532"/>
      <c r="F60" s="532"/>
      <c r="G60" s="532"/>
      <c r="H60" s="532"/>
      <c r="I60" s="532"/>
      <c r="J60" s="532"/>
      <c r="K60" s="532"/>
      <c r="L60" s="532"/>
      <c r="M60" s="532"/>
      <c r="N60" s="532"/>
      <c r="O60" s="532"/>
      <c r="P60" s="533"/>
      <c r="Q60" s="533"/>
      <c r="R60" s="533"/>
      <c r="S60" s="533"/>
      <c r="T60" s="533"/>
      <c r="U60" s="370"/>
      <c r="V60" s="370"/>
      <c r="W60" s="370"/>
      <c r="X60" s="370"/>
      <c r="Y60" s="370"/>
      <c r="Z60" s="370"/>
      <c r="AA60" s="370"/>
      <c r="AG60" s="528"/>
      <c r="AH60" s="543"/>
      <c r="AT60" s="528"/>
    </row>
    <row r="61" spans="2:46" ht="16.5" thickBot="1">
      <c r="B61" s="597" t="s">
        <v>796</v>
      </c>
      <c r="C61" s="598"/>
      <c r="D61" s="598"/>
      <c r="E61" s="598"/>
      <c r="F61" s="598"/>
      <c r="G61" s="598"/>
      <c r="H61" s="598"/>
      <c r="I61" s="598"/>
      <c r="J61" s="598"/>
      <c r="K61" s="598"/>
      <c r="L61" s="598"/>
      <c r="M61" s="598"/>
      <c r="N61" s="598"/>
      <c r="O61" s="598"/>
      <c r="P61" s="598"/>
      <c r="Q61" s="598"/>
      <c r="R61" s="598"/>
      <c r="S61" s="599"/>
      <c r="T61" s="545"/>
      <c r="U61" s="546"/>
      <c r="V61" s="370"/>
      <c r="W61" s="370"/>
      <c r="X61" s="370"/>
      <c r="Y61" s="370"/>
      <c r="Z61" s="370"/>
      <c r="AA61" s="370"/>
      <c r="AG61" s="528"/>
      <c r="AH61" s="540"/>
      <c r="AT61" s="528"/>
    </row>
    <row r="62" spans="2:46" ht="16.5" thickBot="1">
      <c r="B62" s="545"/>
      <c r="C62" s="547"/>
      <c r="D62" s="548"/>
      <c r="E62" s="548"/>
      <c r="F62" s="548"/>
      <c r="G62" s="548"/>
      <c r="H62" s="548"/>
      <c r="I62" s="548"/>
      <c r="J62" s="548"/>
      <c r="K62" s="532"/>
      <c r="L62" s="532"/>
      <c r="M62" s="532"/>
      <c r="N62" s="532"/>
      <c r="O62" s="532"/>
      <c r="P62" s="533"/>
      <c r="Q62" s="533"/>
      <c r="R62" s="533"/>
      <c r="S62" s="533"/>
      <c r="T62" s="549"/>
      <c r="U62" s="546"/>
      <c r="V62" s="370"/>
      <c r="W62" s="370"/>
      <c r="X62" s="370"/>
      <c r="Y62" s="370"/>
      <c r="Z62" s="370"/>
      <c r="AA62" s="370"/>
      <c r="AG62" s="528"/>
      <c r="AH62" s="543"/>
      <c r="AT62" s="528"/>
    </row>
    <row r="63" spans="2:34" ht="30" customHeight="1" thickBot="1">
      <c r="B63" s="590" t="s">
        <v>797</v>
      </c>
      <c r="C63" s="591"/>
      <c r="D63" s="591"/>
      <c r="E63" s="591"/>
      <c r="F63" s="591"/>
      <c r="G63" s="591"/>
      <c r="H63" s="591"/>
      <c r="I63" s="591"/>
      <c r="J63" s="591"/>
      <c r="K63" s="591"/>
      <c r="L63" s="591"/>
      <c r="M63" s="591"/>
      <c r="N63" s="591"/>
      <c r="O63" s="591"/>
      <c r="P63" s="591"/>
      <c r="Q63" s="591"/>
      <c r="R63" s="591"/>
      <c r="S63" s="592"/>
      <c r="T63" s="550"/>
      <c r="U63" s="546"/>
      <c r="V63" s="370"/>
      <c r="W63" s="370"/>
      <c r="X63" s="370"/>
      <c r="Y63" s="370"/>
      <c r="Z63" s="370"/>
      <c r="AA63" s="370"/>
      <c r="AH63" s="543"/>
    </row>
    <row r="64" spans="2:34" ht="15" thickBot="1">
      <c r="B64" s="551"/>
      <c r="C64" s="552"/>
      <c r="D64" s="551"/>
      <c r="E64" s="551"/>
      <c r="F64" s="551"/>
      <c r="G64" s="551"/>
      <c r="H64" s="553"/>
      <c r="I64" s="553"/>
      <c r="J64" s="553"/>
      <c r="K64" s="532"/>
      <c r="L64" s="532"/>
      <c r="M64" s="532"/>
      <c r="N64" s="532"/>
      <c r="O64" s="532"/>
      <c r="P64" s="533"/>
      <c r="Q64" s="533"/>
      <c r="R64" s="533"/>
      <c r="S64" s="533"/>
      <c r="T64" s="549"/>
      <c r="U64" s="546"/>
      <c r="V64" s="370"/>
      <c r="W64" s="370"/>
      <c r="X64" s="370"/>
      <c r="Y64" s="370"/>
      <c r="Z64" s="370"/>
      <c r="AA64" s="370"/>
      <c r="AH64" s="543"/>
    </row>
    <row r="65" spans="2:34" ht="15" customHeight="1">
      <c r="B65" s="554" t="s">
        <v>798</v>
      </c>
      <c r="C65" s="585" t="s">
        <v>799</v>
      </c>
      <c r="D65" s="586"/>
      <c r="E65" s="586"/>
      <c r="F65" s="586"/>
      <c r="G65" s="586"/>
      <c r="H65" s="586"/>
      <c r="I65" s="586"/>
      <c r="J65" s="586"/>
      <c r="K65" s="586"/>
      <c r="L65" s="586"/>
      <c r="M65" s="586"/>
      <c r="N65" s="586"/>
      <c r="O65" s="586"/>
      <c r="P65" s="586"/>
      <c r="Q65" s="586"/>
      <c r="R65" s="586"/>
      <c r="S65" s="587"/>
      <c r="T65" s="555"/>
      <c r="U65" s="546"/>
      <c r="V65" s="370"/>
      <c r="W65" s="370"/>
      <c r="X65" s="370"/>
      <c r="Y65" s="370"/>
      <c r="Z65" s="370"/>
      <c r="AA65" s="370"/>
      <c r="AH65" s="543"/>
    </row>
    <row r="66" spans="2:34" ht="15" customHeight="1">
      <c r="B66" s="556" t="s">
        <v>800</v>
      </c>
      <c r="C66" s="557" t="str">
        <f>$C$5</f>
        <v>Retail price index</v>
      </c>
      <c r="D66" s="557"/>
      <c r="E66" s="557"/>
      <c r="F66" s="557"/>
      <c r="G66" s="557"/>
      <c r="H66" s="557"/>
      <c r="I66" s="557"/>
      <c r="J66" s="557"/>
      <c r="K66" s="557"/>
      <c r="L66" s="557"/>
      <c r="M66" s="557"/>
      <c r="N66" s="557"/>
      <c r="O66" s="557"/>
      <c r="P66" s="557"/>
      <c r="Q66" s="557"/>
      <c r="R66" s="557"/>
      <c r="S66" s="558"/>
      <c r="T66" s="555"/>
      <c r="U66" s="546"/>
      <c r="V66" s="370"/>
      <c r="W66" s="370"/>
      <c r="X66" s="370"/>
      <c r="Y66" s="370"/>
      <c r="Z66" s="370"/>
      <c r="AA66" s="370"/>
      <c r="AH66" s="543"/>
    </row>
    <row r="67" spans="2:34" ht="60" customHeight="1">
      <c r="B67" s="559" t="s">
        <v>801</v>
      </c>
      <c r="C67" s="578" t="s">
        <v>802</v>
      </c>
      <c r="D67" s="579"/>
      <c r="E67" s="579"/>
      <c r="F67" s="579"/>
      <c r="G67" s="579"/>
      <c r="H67" s="579"/>
      <c r="I67" s="579"/>
      <c r="J67" s="579"/>
      <c r="K67" s="579"/>
      <c r="L67" s="579"/>
      <c r="M67" s="579"/>
      <c r="N67" s="579"/>
      <c r="O67" s="579"/>
      <c r="P67" s="579"/>
      <c r="Q67" s="579"/>
      <c r="R67" s="579"/>
      <c r="S67" s="580"/>
      <c r="T67" s="560"/>
      <c r="U67" s="546"/>
      <c r="V67" s="370"/>
      <c r="W67" s="370"/>
      <c r="X67" s="370"/>
      <c r="Y67" s="370"/>
      <c r="Z67" s="370"/>
      <c r="AA67" s="370"/>
      <c r="AH67" s="543"/>
    </row>
    <row r="68" spans="2:27" ht="15" customHeight="1">
      <c r="B68" s="556" t="s">
        <v>803</v>
      </c>
      <c r="C68" s="557" t="str">
        <f>$C$20</f>
        <v>Consumer price index (including housing costs)</v>
      </c>
      <c r="D68" s="557"/>
      <c r="E68" s="557"/>
      <c r="F68" s="557"/>
      <c r="G68" s="557"/>
      <c r="H68" s="557"/>
      <c r="I68" s="557"/>
      <c r="J68" s="557"/>
      <c r="K68" s="557"/>
      <c r="L68" s="557"/>
      <c r="M68" s="557"/>
      <c r="N68" s="557"/>
      <c r="O68" s="557"/>
      <c r="P68" s="557"/>
      <c r="Q68" s="557"/>
      <c r="R68" s="557"/>
      <c r="S68" s="558"/>
      <c r="T68" s="560"/>
      <c r="U68" s="546"/>
      <c r="V68" s="370"/>
      <c r="W68" s="370"/>
      <c r="X68" s="370"/>
      <c r="Y68" s="370"/>
      <c r="Z68" s="370"/>
      <c r="AA68" s="370"/>
    </row>
    <row r="69" spans="2:27" ht="60" customHeight="1">
      <c r="B69" s="559" t="s">
        <v>804</v>
      </c>
      <c r="C69" s="578" t="s">
        <v>805</v>
      </c>
      <c r="D69" s="579"/>
      <c r="E69" s="579"/>
      <c r="F69" s="579"/>
      <c r="G69" s="579"/>
      <c r="H69" s="579"/>
      <c r="I69" s="579"/>
      <c r="J69" s="579"/>
      <c r="K69" s="579"/>
      <c r="L69" s="579"/>
      <c r="M69" s="579"/>
      <c r="N69" s="579"/>
      <c r="O69" s="579"/>
      <c r="P69" s="579"/>
      <c r="Q69" s="579"/>
      <c r="R69" s="579"/>
      <c r="S69" s="580"/>
      <c r="T69" s="560"/>
      <c r="U69" s="546"/>
      <c r="V69" s="370"/>
      <c r="W69" s="370"/>
      <c r="X69" s="370"/>
      <c r="Y69" s="370"/>
      <c r="Z69" s="370"/>
      <c r="AA69" s="370"/>
    </row>
    <row r="70" spans="2:27" ht="15" customHeight="1">
      <c r="B70" s="556" t="s">
        <v>806</v>
      </c>
      <c r="C70" s="557" t="str">
        <f>$C$35</f>
        <v>Indexation rate for index linked debt percentage increase</v>
      </c>
      <c r="D70" s="557"/>
      <c r="E70" s="557"/>
      <c r="F70" s="557"/>
      <c r="G70" s="557"/>
      <c r="H70" s="557"/>
      <c r="I70" s="557"/>
      <c r="J70" s="557"/>
      <c r="K70" s="557"/>
      <c r="L70" s="557"/>
      <c r="M70" s="557"/>
      <c r="N70" s="557"/>
      <c r="O70" s="557"/>
      <c r="P70" s="557"/>
      <c r="Q70" s="557"/>
      <c r="R70" s="557"/>
      <c r="S70" s="558"/>
      <c r="T70" s="560"/>
      <c r="U70" s="546"/>
      <c r="V70" s="370"/>
      <c r="W70" s="370"/>
      <c r="X70" s="370"/>
      <c r="Y70" s="370"/>
      <c r="Z70" s="370"/>
      <c r="AA70" s="370"/>
    </row>
    <row r="71" spans="2:27" ht="15" customHeight="1">
      <c r="B71" s="561">
        <v>27</v>
      </c>
      <c r="C71" s="588" t="s">
        <v>807</v>
      </c>
      <c r="D71" s="588"/>
      <c r="E71" s="588"/>
      <c r="F71" s="588"/>
      <c r="G71" s="588"/>
      <c r="H71" s="588"/>
      <c r="I71" s="588"/>
      <c r="J71" s="588"/>
      <c r="K71" s="588"/>
      <c r="L71" s="588"/>
      <c r="M71" s="588"/>
      <c r="N71" s="588"/>
      <c r="O71" s="588"/>
      <c r="P71" s="588"/>
      <c r="Q71" s="588"/>
      <c r="R71" s="588"/>
      <c r="S71" s="589"/>
      <c r="T71" s="560"/>
      <c r="U71" s="546"/>
      <c r="V71" s="370"/>
      <c r="W71" s="370"/>
      <c r="X71" s="370"/>
      <c r="Y71" s="370"/>
      <c r="Z71" s="370"/>
      <c r="AA71" s="370"/>
    </row>
    <row r="72" spans="2:27" ht="15" customHeight="1">
      <c r="B72" s="556" t="s">
        <v>808</v>
      </c>
      <c r="C72" s="557" t="str">
        <f>$C$38</f>
        <v>Financial year average indices</v>
      </c>
      <c r="D72" s="557"/>
      <c r="E72" s="557"/>
      <c r="F72" s="557"/>
      <c r="G72" s="557"/>
      <c r="H72" s="557"/>
      <c r="I72" s="557"/>
      <c r="J72" s="557"/>
      <c r="K72" s="557"/>
      <c r="L72" s="557"/>
      <c r="M72" s="557"/>
      <c r="N72" s="557"/>
      <c r="O72" s="557"/>
      <c r="P72" s="557"/>
      <c r="Q72" s="557"/>
      <c r="R72" s="557"/>
      <c r="S72" s="558"/>
      <c r="T72" s="560"/>
      <c r="U72" s="546"/>
      <c r="V72" s="370"/>
      <c r="W72" s="370"/>
      <c r="X72" s="370"/>
      <c r="Y72" s="370"/>
      <c r="Z72" s="370"/>
      <c r="AA72" s="370"/>
    </row>
    <row r="73" spans="2:27" ht="15" customHeight="1">
      <c r="B73" s="559" t="s">
        <v>809</v>
      </c>
      <c r="C73" s="588" t="s">
        <v>810</v>
      </c>
      <c r="D73" s="588"/>
      <c r="E73" s="588"/>
      <c r="F73" s="588"/>
      <c r="G73" s="588"/>
      <c r="H73" s="588"/>
      <c r="I73" s="588"/>
      <c r="J73" s="588"/>
      <c r="K73" s="588"/>
      <c r="L73" s="588"/>
      <c r="M73" s="588"/>
      <c r="N73" s="588"/>
      <c r="O73" s="588"/>
      <c r="P73" s="588"/>
      <c r="Q73" s="588"/>
      <c r="R73" s="588"/>
      <c r="S73" s="589"/>
      <c r="T73" s="560"/>
      <c r="U73" s="546"/>
      <c r="V73" s="370"/>
      <c r="W73" s="370"/>
      <c r="X73" s="370"/>
      <c r="Y73" s="370"/>
      <c r="Z73" s="370"/>
      <c r="AA73" s="370"/>
    </row>
    <row r="74" spans="2:27" ht="15" customHeight="1">
      <c r="B74" s="556" t="s">
        <v>811</v>
      </c>
      <c r="C74" s="557" t="str">
        <f>$C$42</f>
        <v>Year on year % change</v>
      </c>
      <c r="D74" s="557"/>
      <c r="E74" s="557"/>
      <c r="F74" s="557"/>
      <c r="G74" s="557"/>
      <c r="H74" s="557"/>
      <c r="I74" s="557"/>
      <c r="J74" s="557"/>
      <c r="K74" s="557"/>
      <c r="L74" s="557"/>
      <c r="M74" s="557"/>
      <c r="N74" s="557"/>
      <c r="O74" s="557"/>
      <c r="P74" s="557"/>
      <c r="Q74" s="557"/>
      <c r="R74" s="557"/>
      <c r="S74" s="558"/>
      <c r="T74" s="560"/>
      <c r="U74" s="546"/>
      <c r="V74" s="370"/>
      <c r="W74" s="370"/>
      <c r="X74" s="370"/>
      <c r="Y74" s="370"/>
      <c r="Z74" s="370"/>
      <c r="AA74" s="370"/>
    </row>
    <row r="75" spans="2:27" ht="15" customHeight="1">
      <c r="B75" s="562" t="s">
        <v>812</v>
      </c>
      <c r="C75" s="581" t="s">
        <v>813</v>
      </c>
      <c r="D75" s="581"/>
      <c r="E75" s="581"/>
      <c r="F75" s="581"/>
      <c r="G75" s="581"/>
      <c r="H75" s="581"/>
      <c r="I75" s="581"/>
      <c r="J75" s="581"/>
      <c r="K75" s="581"/>
      <c r="L75" s="581"/>
      <c r="M75" s="581"/>
      <c r="N75" s="581"/>
      <c r="O75" s="581"/>
      <c r="P75" s="581"/>
      <c r="Q75" s="581"/>
      <c r="R75" s="581"/>
      <c r="S75" s="582"/>
      <c r="T75" s="560"/>
      <c r="U75" s="546"/>
      <c r="V75" s="370"/>
      <c r="W75" s="370"/>
      <c r="X75" s="370"/>
      <c r="Y75" s="370"/>
      <c r="Z75" s="370"/>
      <c r="AA75" s="370"/>
    </row>
    <row r="76" spans="2:27" ht="15" customHeight="1">
      <c r="B76" s="562">
        <v>36</v>
      </c>
      <c r="C76" s="578" t="s">
        <v>814</v>
      </c>
      <c r="D76" s="579"/>
      <c r="E76" s="579"/>
      <c r="F76" s="579"/>
      <c r="G76" s="579"/>
      <c r="H76" s="579"/>
      <c r="I76" s="579"/>
      <c r="J76" s="579"/>
      <c r="K76" s="579"/>
      <c r="L76" s="579"/>
      <c r="M76" s="579"/>
      <c r="N76" s="579"/>
      <c r="O76" s="579"/>
      <c r="P76" s="579"/>
      <c r="Q76" s="579"/>
      <c r="R76" s="579"/>
      <c r="S76" s="580"/>
      <c r="T76" s="560"/>
      <c r="U76" s="546"/>
      <c r="V76" s="370"/>
      <c r="W76" s="370"/>
      <c r="X76" s="370"/>
      <c r="Y76" s="370"/>
      <c r="Z76" s="370"/>
      <c r="AA76" s="370"/>
    </row>
    <row r="77" spans="2:27" ht="15" customHeight="1">
      <c r="B77" s="556" t="s">
        <v>815</v>
      </c>
      <c r="C77" s="557" t="str">
        <f>$C$51</f>
        <v>Long term inflation rates</v>
      </c>
      <c r="D77" s="557"/>
      <c r="E77" s="557"/>
      <c r="F77" s="557"/>
      <c r="G77" s="557"/>
      <c r="H77" s="557"/>
      <c r="I77" s="557"/>
      <c r="J77" s="557"/>
      <c r="K77" s="557"/>
      <c r="L77" s="557"/>
      <c r="M77" s="557"/>
      <c r="N77" s="557"/>
      <c r="O77" s="557"/>
      <c r="P77" s="557"/>
      <c r="Q77" s="557"/>
      <c r="R77" s="557"/>
      <c r="S77" s="558"/>
      <c r="T77" s="560"/>
      <c r="U77" s="546"/>
      <c r="V77" s="370"/>
      <c r="W77" s="370"/>
      <c r="X77" s="370"/>
      <c r="Y77" s="370"/>
      <c r="Z77" s="370"/>
      <c r="AA77" s="370"/>
    </row>
    <row r="78" spans="2:19" ht="15" customHeight="1">
      <c r="B78" s="563">
        <v>37</v>
      </c>
      <c r="C78" s="581" t="s">
        <v>816</v>
      </c>
      <c r="D78" s="581"/>
      <c r="E78" s="581"/>
      <c r="F78" s="581"/>
      <c r="G78" s="581"/>
      <c r="H78" s="581"/>
      <c r="I78" s="581"/>
      <c r="J78" s="581"/>
      <c r="K78" s="581"/>
      <c r="L78" s="581"/>
      <c r="M78" s="581"/>
      <c r="N78" s="581"/>
      <c r="O78" s="581"/>
      <c r="P78" s="581"/>
      <c r="Q78" s="581"/>
      <c r="R78" s="581"/>
      <c r="S78" s="582"/>
    </row>
    <row r="79" spans="2:19" ht="15" customHeight="1" thickBot="1">
      <c r="B79" s="564">
        <v>38</v>
      </c>
      <c r="C79" s="583" t="s">
        <v>817</v>
      </c>
      <c r="D79" s="583"/>
      <c r="E79" s="583"/>
      <c r="F79" s="583"/>
      <c r="G79" s="583"/>
      <c r="H79" s="583"/>
      <c r="I79" s="583"/>
      <c r="J79" s="583"/>
      <c r="K79" s="583"/>
      <c r="L79" s="583"/>
      <c r="M79" s="583"/>
      <c r="N79" s="583"/>
      <c r="O79" s="583"/>
      <c r="P79" s="583"/>
      <c r="Q79" s="583"/>
      <c r="R79" s="583"/>
      <c r="S79" s="584"/>
    </row>
    <row r="80" ht="14.25"/>
  </sheetData>
  <sheetProtection sheet="1" objects="1" scenarios="1" selectLockedCells="1"/>
  <mergeCells count="15">
    <mergeCell ref="B63:S63"/>
    <mergeCell ref="AA1:AD1"/>
    <mergeCell ref="B3:C3"/>
    <mergeCell ref="AH4:AS4"/>
    <mergeCell ref="AW4:BJ4"/>
    <mergeCell ref="B61:S61"/>
    <mergeCell ref="C76:S76"/>
    <mergeCell ref="C78:S78"/>
    <mergeCell ref="C79:S79"/>
    <mergeCell ref="C65:S65"/>
    <mergeCell ref="C67:S67"/>
    <mergeCell ref="C69:S69"/>
    <mergeCell ref="C71:S71"/>
    <mergeCell ref="C73:S73"/>
    <mergeCell ref="C75:S75"/>
  </mergeCells>
  <conditionalFormatting sqref="AD6:AE56">
    <cfRule type="cellIs" priority="1" dxfId="34" operator="equal">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headerFooter>
    <oddHeader>&amp;LPage &amp;P of &amp;N &amp;CPR19 Business plan data tables - May 2018&amp;R&amp;G</oddHeader>
    <oddFooter>&amp;L&amp;A&amp;RPrinted: &amp;D &amp;T</oddFooter>
  </headerFooter>
  <legacyDrawingHF r:id="rId1"/>
</worksheet>
</file>

<file path=xl/worksheets/sheet10.xml><?xml version="1.0" encoding="utf-8"?>
<worksheet xmlns="http://schemas.openxmlformats.org/spreadsheetml/2006/main" xmlns:r="http://schemas.openxmlformats.org/officeDocument/2006/relationships">
  <sheetPr codeName="Sheet10">
    <tabColor rgb="FF99CCFF"/>
    <outlinePr summaryBelow="0" summaryRight="0"/>
    <pageSetUpPr fitToPage="1"/>
  </sheetPr>
  <dimension ref="A1:U104"/>
  <sheetViews>
    <sheetView showGridLines="0" tabSelected="1" defaultGridColor="0" zoomScale="80" zoomScaleNormal="80" zoomScalePageLayoutView="0" colorId="22" workbookViewId="0" topLeftCell="A1">
      <pane xSplit="9" ySplit="5" topLeftCell="J12" activePane="bottomRight" state="frozen"/>
      <selection pane="topLeft" activeCell="A1" sqref="A1"/>
      <selection pane="topRight" activeCell="A1" sqref="A1"/>
      <selection pane="bottomLeft" activeCell="A1" sqref="A1"/>
      <selection pane="bottomRight" activeCell="F32" sqref="F32"/>
    </sheetView>
  </sheetViews>
  <sheetFormatPr defaultColWidth="0" defaultRowHeight="12.75"/>
  <cols>
    <col min="1" max="1" width="20.7109375" style="35" customWidth="1"/>
    <col min="2" max="2" width="1.28515625" style="35" customWidth="1"/>
    <col min="3" max="3" width="1.28515625" style="34" customWidth="1"/>
    <col min="4" max="4" width="1.28515625" style="4" customWidth="1"/>
    <col min="5" max="5" width="133.00390625" style="0" bestFit="1" customWidth="1"/>
    <col min="6" max="6" width="12.7109375" style="0" customWidth="1"/>
    <col min="7" max="7" width="11.7109375" style="0" customWidth="1"/>
    <col min="8" max="8" width="12.57421875" style="0" customWidth="1"/>
    <col min="9" max="9" width="2.7109375" style="0" customWidth="1"/>
    <col min="10" max="21" width="12.7109375" style="0" customWidth="1"/>
    <col min="22" max="16384" width="9.140625" style="0" hidden="1" customWidth="1"/>
  </cols>
  <sheetData>
    <row r="1" spans="1:21" ht="26.25">
      <c r="A1" s="22" t="str">
        <f ca="1">RIGHT(CELL("filename",$A$1),LEN(CELL("filename",$A$1))-SEARCH("]",CELL("filename",$A$1)))</f>
        <v>Summary_Output</v>
      </c>
      <c r="B1" s="22"/>
      <c r="C1" s="23"/>
      <c r="D1" s="36"/>
      <c r="E1" s="36"/>
      <c r="F1" s="143"/>
      <c r="G1" s="144"/>
      <c r="H1" s="139"/>
      <c r="I1" s="36"/>
      <c r="J1" s="88"/>
      <c r="K1" s="36"/>
      <c r="L1" s="36"/>
      <c r="M1" s="36"/>
      <c r="N1" s="36"/>
      <c r="O1" s="36"/>
      <c r="P1" s="36"/>
      <c r="Q1" s="36"/>
      <c r="R1" s="36"/>
      <c r="S1" s="36"/>
      <c r="T1" s="36"/>
      <c r="U1" s="36"/>
    </row>
    <row r="2" spans="5:21" ht="12.75" customHeight="1">
      <c r="E2" s="4" t="str">
        <f>Time!E$25</f>
        <v>Model period ending</v>
      </c>
      <c r="F2" s="133"/>
      <c r="G2" s="133"/>
      <c r="H2" s="4"/>
      <c r="I2" s="4"/>
      <c r="J2" s="3"/>
      <c r="K2" s="3">
        <f>Time!K$25</f>
        <v>41729</v>
      </c>
      <c r="L2" s="3">
        <f>Time!L$25</f>
        <v>42094</v>
      </c>
      <c r="M2" s="3">
        <f>Time!M$25</f>
        <v>42460</v>
      </c>
      <c r="N2" s="3">
        <f>Time!N$25</f>
        <v>42825</v>
      </c>
      <c r="O2" s="3">
        <f>Time!O$25</f>
        <v>43190</v>
      </c>
      <c r="P2" s="3">
        <f>Time!P$25</f>
        <v>43555</v>
      </c>
      <c r="Q2" s="3">
        <f>Time!Q$25</f>
        <v>43921</v>
      </c>
      <c r="R2" s="3">
        <f>Time!R$25</f>
        <v>44286</v>
      </c>
      <c r="S2" s="3">
        <f>Time!S$25</f>
        <v>44651</v>
      </c>
      <c r="T2" s="3">
        <f>Time!T$25</f>
        <v>45016</v>
      </c>
      <c r="U2" s="3">
        <f>Time!U$25</f>
        <v>45382</v>
      </c>
    </row>
    <row r="3" spans="5:21" ht="12.75" customHeight="1">
      <c r="E3" s="4" t="str">
        <f>Time!E$80</f>
        <v>Timeline label</v>
      </c>
      <c r="F3" s="26"/>
      <c r="G3" s="26"/>
      <c r="H3" s="4"/>
      <c r="I3" s="4"/>
      <c r="J3" s="124"/>
      <c r="K3" s="124" t="str">
        <f>Time!K$80</f>
        <v>Pre-Fcst</v>
      </c>
      <c r="L3" s="124" t="str">
        <f>Time!L$80</f>
        <v>Pre-Fcst</v>
      </c>
      <c r="M3" s="124" t="str">
        <f>Time!M$80</f>
        <v>Pre-Fcst</v>
      </c>
      <c r="N3" s="124" t="str">
        <f>Time!N$80</f>
        <v>Pre-Fcst</v>
      </c>
      <c r="O3" s="124" t="str">
        <f>Time!O$80</f>
        <v>Pre-Fcst</v>
      </c>
      <c r="P3" s="124" t="str">
        <f>Time!P$80</f>
        <v>Pre-Fcst</v>
      </c>
      <c r="Q3" s="124" t="str">
        <f>Time!Q$80</f>
        <v>Pre-Fcst</v>
      </c>
      <c r="R3" s="124" t="str">
        <f>Time!R$80</f>
        <v>Forecast</v>
      </c>
      <c r="S3" s="124" t="str">
        <f>Time!S$80</f>
        <v>Forecast</v>
      </c>
      <c r="T3" s="124" t="str">
        <f>Time!T$80</f>
        <v>Forecast</v>
      </c>
      <c r="U3" s="124" t="str">
        <f>Time!U$80</f>
        <v>Forecast</v>
      </c>
    </row>
    <row r="4" spans="4:21" ht="12.75" customHeight="1">
      <c r="D4" s="288"/>
      <c r="E4" s="4" t="str">
        <f>Time!E$103</f>
        <v>Financial year ending</v>
      </c>
      <c r="F4" s="26"/>
      <c r="G4" s="26"/>
      <c r="H4" s="4"/>
      <c r="I4" s="4"/>
      <c r="J4" s="24"/>
      <c r="K4" s="24">
        <f>Time!K$103</f>
        <v>2014</v>
      </c>
      <c r="L4" s="24">
        <f>Time!L$103</f>
        <v>2015</v>
      </c>
      <c r="M4" s="24">
        <f>Time!M$103</f>
        <v>2016</v>
      </c>
      <c r="N4" s="24">
        <f>Time!N$103</f>
        <v>2017</v>
      </c>
      <c r="O4" s="24">
        <f>Time!O$103</f>
        <v>2018</v>
      </c>
      <c r="P4" s="24">
        <f>Time!P$103</f>
        <v>2019</v>
      </c>
      <c r="Q4" s="24">
        <f>Time!Q$103</f>
        <v>2020</v>
      </c>
      <c r="R4" s="24">
        <f>Time!R$103</f>
        <v>2021</v>
      </c>
      <c r="S4" s="24">
        <f>Time!S$103</f>
        <v>2022</v>
      </c>
      <c r="T4" s="24">
        <f>Time!T$103</f>
        <v>2023</v>
      </c>
      <c r="U4" s="24">
        <f>Time!U$103</f>
        <v>2024</v>
      </c>
    </row>
    <row r="5" spans="5:21" ht="12.75" customHeight="1">
      <c r="E5" s="4" t="str">
        <f>Time!E$10</f>
        <v>Model column counter</v>
      </c>
      <c r="F5" s="38" t="s">
        <v>133</v>
      </c>
      <c r="G5" s="35" t="s">
        <v>134</v>
      </c>
      <c r="H5" s="38"/>
      <c r="I5" s="4"/>
      <c r="J5" s="4"/>
      <c r="K5" s="4">
        <f>Time!K$10</f>
        <v>2</v>
      </c>
      <c r="L5" s="4">
        <f>Time!L$10</f>
        <v>3</v>
      </c>
      <c r="M5" s="4">
        <f>Time!M$10</f>
        <v>4</v>
      </c>
      <c r="N5" s="4">
        <f>Time!N$10</f>
        <v>5</v>
      </c>
      <c r="O5" s="4">
        <f>Time!O$10</f>
        <v>6</v>
      </c>
      <c r="P5" s="4">
        <f>Time!P$10</f>
        <v>7</v>
      </c>
      <c r="Q5" s="4">
        <f>Time!Q$10</f>
        <v>8</v>
      </c>
      <c r="R5" s="4">
        <f>Time!R$10</f>
        <v>9</v>
      </c>
      <c r="S5" s="4">
        <f>Time!S$10</f>
        <v>10</v>
      </c>
      <c r="T5" s="4">
        <f>Time!T$10</f>
        <v>11</v>
      </c>
      <c r="U5" s="4">
        <f>Time!U$10</f>
        <v>12</v>
      </c>
    </row>
    <row r="6" ht="12.75">
      <c r="D6" s="288"/>
    </row>
    <row r="7" spans="1:21" ht="12.75" customHeight="1" collapsed="1">
      <c r="A7" s="43" t="s">
        <v>314</v>
      </c>
      <c r="B7" s="43"/>
      <c r="C7" s="44"/>
      <c r="D7" s="43"/>
      <c r="E7" s="43"/>
      <c r="F7" s="43"/>
      <c r="G7" s="43"/>
      <c r="H7" s="43"/>
      <c r="I7" s="43"/>
      <c r="J7" s="43"/>
      <c r="K7" s="43"/>
      <c r="L7" s="43"/>
      <c r="M7" s="43"/>
      <c r="N7" s="43"/>
      <c r="O7" s="43"/>
      <c r="P7" s="43"/>
      <c r="Q7" s="43"/>
      <c r="R7" s="43"/>
      <c r="S7" s="43"/>
      <c r="T7" s="43"/>
      <c r="U7" s="43"/>
    </row>
    <row r="9" ht="12.75">
      <c r="B9" s="35" t="s">
        <v>316</v>
      </c>
    </row>
    <row r="10" spans="1:7" ht="12.75">
      <c r="A10" s="347" t="str">
        <f>Calc!A$47</f>
        <v>C_APP8002W</v>
      </c>
      <c r="E10" s="177" t="str">
        <f>Calc!E$47</f>
        <v>Wholesale water closing RCV at 31 March 2020 before midnight adjustments at 2017-18 FYE CPIH deflated price base </v>
      </c>
      <c r="F10" s="292">
        <f>Calc!F$47</f>
        <v>0</v>
      </c>
      <c r="G10" s="177" t="str">
        <f>Calc!G$47</f>
        <v>£m</v>
      </c>
    </row>
    <row r="11" spans="1:7" ht="12.75">
      <c r="A11" s="347" t="str">
        <f>Calc!A$48</f>
        <v>C_APP8003W</v>
      </c>
      <c r="E11" s="177" t="str">
        <f>Calc!E$48</f>
        <v>Water ~ Total Adjustment RCV carry forward to PR19 at 2017-18 FYE CPIH deflated price base</v>
      </c>
      <c r="F11" s="292">
        <f>Calc!F$48</f>
        <v>3.497350881646611</v>
      </c>
      <c r="G11" s="177" t="str">
        <f>Calc!G$48</f>
        <v>£m</v>
      </c>
    </row>
    <row r="12" spans="1:7" ht="12.75">
      <c r="A12" s="347" t="str">
        <f>Calc!A$49</f>
        <v>C_APP8004W</v>
      </c>
      <c r="E12" s="177" t="str">
        <f>Calc!E$49</f>
        <v>Water ~ CIS RCV inflation correction at 2017-18 FYE CPIH deflated price base</v>
      </c>
      <c r="F12" s="292">
        <f>Calc!F$49</f>
        <v>-46.19182658840679</v>
      </c>
      <c r="G12" s="177" t="str">
        <f>Calc!G$49</f>
        <v>£m</v>
      </c>
    </row>
    <row r="13" spans="1:7" ht="12.75">
      <c r="A13" s="347" t="str">
        <f>Calc!A$50</f>
        <v>C_APP8005W</v>
      </c>
      <c r="E13" s="177" t="str">
        <f>Calc!E$50</f>
        <v>Water ~ NPV effect of 50% of proceeds from disposals of interest in land at 2017-18 FYE CPIH deflated price base</v>
      </c>
      <c r="F13" s="292">
        <f>Calc!F$50</f>
        <v>-1.532060573909322</v>
      </c>
      <c r="G13" s="177" t="str">
        <f>Calc!G$50</f>
        <v>£m</v>
      </c>
    </row>
    <row r="14" spans="1:7" ht="12.75">
      <c r="A14" s="347" t="str">
        <f>Calc!A$51</f>
        <v>C_APP8006W</v>
      </c>
      <c r="E14" s="177" t="str">
        <f>Calc!E$51</f>
        <v>Water ~ ODI RCV adjustment allocated to Water resources at 2017-18 FYE CPIH deflated price base</v>
      </c>
      <c r="F14" s="292">
        <f>Calc!F$51</f>
        <v>0</v>
      </c>
      <c r="G14" s="177" t="str">
        <f>Calc!G$51</f>
        <v>£m</v>
      </c>
    </row>
    <row r="15" spans="1:7" ht="12.75">
      <c r="A15" s="347" t="str">
        <f>Calc!A$52</f>
        <v>C_APP8007W</v>
      </c>
      <c r="E15" s="177" t="str">
        <f>Calc!E$52</f>
        <v>Water ~ ODI RCV adjustment allocated to Water network plus at 2017-18 FYE CPIH deflated price base</v>
      </c>
      <c r="F15" s="292">
        <f>Calc!F$52</f>
        <v>0</v>
      </c>
      <c r="G15" s="177" t="str">
        <f>Calc!G$52</f>
        <v>£m</v>
      </c>
    </row>
    <row r="16" spans="1:7" ht="12.75">
      <c r="A16" s="347" t="str">
        <f>Calc!A$53</f>
        <v>C_APP8008W</v>
      </c>
      <c r="E16" s="177" t="str">
        <f>Calc!E$53</f>
        <v>Water ~ Totex menu RCV adjustment at 2017-18 FYE CPIH deflated price base</v>
      </c>
      <c r="F16" s="292">
        <f>Calc!F$53</f>
        <v>52.109831614697434</v>
      </c>
      <c r="G16" s="177" t="str">
        <f>Calc!G$53</f>
        <v>£m</v>
      </c>
    </row>
    <row r="17" spans="1:7" ht="12.75">
      <c r="A17" s="347" t="str">
        <f>Calc!A$54</f>
        <v>C_APP8009W</v>
      </c>
      <c r="E17" s="177" t="str">
        <f>Calc!E$54</f>
        <v>Water ~ Other adjustment to wholesale RCV at 2017-18 FYE CPIH deflated price base</v>
      </c>
      <c r="F17" s="292">
        <f>Calc!F$54</f>
        <v>0</v>
      </c>
      <c r="G17" s="177" t="str">
        <f>Calc!G$54</f>
        <v>£m</v>
      </c>
    </row>
    <row r="18" spans="1:7" ht="12.75">
      <c r="A18" s="347" t="str">
        <f>Calc!A$55</f>
        <v>C_APP8010W</v>
      </c>
      <c r="E18" s="199" t="str">
        <f>Calc!E$55</f>
        <v>Total wholesale water RCV at 31 March 2020 post midnight adjustments before allocation to price control units at 2017-18 FYE CPIH deflated price base</v>
      </c>
      <c r="F18" s="293">
        <f>Calc!F$55</f>
        <v>7.883295334027935</v>
      </c>
      <c r="G18" s="199" t="str">
        <f>Calc!G$55</f>
        <v>£m</v>
      </c>
    </row>
    <row r="19" spans="5:7" ht="12.75">
      <c r="E19" s="177"/>
      <c r="F19" s="177"/>
      <c r="G19" s="177"/>
    </row>
    <row r="20" ht="12.75">
      <c r="B20" s="35" t="s">
        <v>419</v>
      </c>
    </row>
    <row r="21" spans="1:7" ht="12.75">
      <c r="A21" s="347" t="str">
        <f>Calc!A$82</f>
        <v>C_APP8022WR</v>
      </c>
      <c r="C21" s="272"/>
      <c r="D21" s="245"/>
      <c r="E21" s="313" t="str">
        <f>Calc!E$82</f>
        <v>Water resources IFRS16 RCV adjustment at 2017-18 FYA CPIH deflated price base</v>
      </c>
      <c r="F21" s="313">
        <f>Calc!F$82</f>
        <v>0</v>
      </c>
      <c r="G21" s="313" t="str">
        <f>Calc!G$82</f>
        <v>£m</v>
      </c>
    </row>
    <row r="22" spans="1:21" s="166" customFormat="1" ht="12.75">
      <c r="A22" s="347" t="str">
        <f>Calc!A$129</f>
        <v>C_APP8014WR</v>
      </c>
      <c r="B22" s="150"/>
      <c r="C22" s="151"/>
      <c r="D22" s="39"/>
      <c r="E22" s="177" t="str">
        <f>Calc!E$129</f>
        <v>Water resources 2020 RCV RPI inflated ~ 1 April (opening balance) at 2017-18 CPIH deflated price base</v>
      </c>
      <c r="F22" s="292">
        <f>Calc!F$129</f>
        <v>0</v>
      </c>
      <c r="G22" s="177" t="str">
        <f>Calc!G$129</f>
        <v>£m</v>
      </c>
      <c r="H22" s="177"/>
      <c r="I22" s="177"/>
      <c r="J22" s="177"/>
      <c r="K22" s="177"/>
      <c r="L22" s="177"/>
      <c r="M22" s="177"/>
      <c r="N22" s="177"/>
      <c r="O22" s="177"/>
      <c r="P22" s="177"/>
      <c r="Q22" s="177"/>
      <c r="R22" s="177"/>
      <c r="S22" s="177"/>
      <c r="T22" s="177"/>
      <c r="U22" s="177"/>
    </row>
    <row r="23" spans="1:21" s="166" customFormat="1" ht="12.75">
      <c r="A23" s="347" t="str">
        <f>Calc!A$133</f>
        <v>C_APP8016WR</v>
      </c>
      <c r="B23" s="150"/>
      <c r="C23" s="151"/>
      <c r="D23" s="39"/>
      <c r="E23" s="177" t="str">
        <f>Calc!E$133</f>
        <v>Water resources 2020 RCV CPIH inflated ~ 1 April (opening balance) at 2017-18 CPIH deflated price base</v>
      </c>
      <c r="F23" s="292">
        <f>Calc!F$133</f>
        <v>0</v>
      </c>
      <c r="G23" s="177" t="str">
        <f>Calc!G$133</f>
        <v>£m</v>
      </c>
      <c r="H23" s="177"/>
      <c r="I23" s="177"/>
      <c r="J23" s="177"/>
      <c r="K23" s="177"/>
      <c r="L23" s="177"/>
      <c r="M23" s="177"/>
      <c r="N23" s="177"/>
      <c r="O23" s="177"/>
      <c r="P23" s="177"/>
      <c r="Q23" s="177"/>
      <c r="R23" s="177"/>
      <c r="S23" s="177"/>
      <c r="T23" s="177"/>
      <c r="U23" s="177"/>
    </row>
    <row r="24" spans="1:6" ht="12.75">
      <c r="A24" s="350"/>
      <c r="F24" s="294"/>
    </row>
    <row r="25" spans="1:7" ht="12.75">
      <c r="A25" s="347" t="str">
        <f>Calc!A$83</f>
        <v>C_APP8022WN</v>
      </c>
      <c r="C25" s="272"/>
      <c r="D25" s="245"/>
      <c r="E25" s="313" t="str">
        <f>Calc!E$83</f>
        <v>Water network plus IFRS16 RCV adjustment at 2017-18 FYA CPIH deflated price base</v>
      </c>
      <c r="F25" s="313">
        <f>Calc!F$83</f>
        <v>0</v>
      </c>
      <c r="G25" s="313" t="str">
        <f>Calc!G$83</f>
        <v>£m</v>
      </c>
    </row>
    <row r="26" spans="1:21" s="166" customFormat="1" ht="12.75">
      <c r="A26" s="347" t="str">
        <f>Calc!A$168</f>
        <v>C_APP8014WN</v>
      </c>
      <c r="B26" s="150"/>
      <c r="C26" s="151"/>
      <c r="D26" s="39"/>
      <c r="E26" s="177" t="str">
        <f>Calc!E$168</f>
        <v>Water network plus RCV RPI inflated ~ 1 April (opening balance) at 2017-18 CPIH deflated price base</v>
      </c>
      <c r="F26" s="292">
        <f>Calc!F$168</f>
        <v>3.9085193247444225</v>
      </c>
      <c r="G26" s="177" t="str">
        <f>Calc!G$168</f>
        <v>£m</v>
      </c>
      <c r="H26" s="177"/>
      <c r="I26" s="177"/>
      <c r="J26" s="177"/>
      <c r="K26" s="177"/>
      <c r="L26" s="177"/>
      <c r="M26" s="177"/>
      <c r="N26" s="177"/>
      <c r="O26" s="177"/>
      <c r="P26" s="177"/>
      <c r="Q26" s="177"/>
      <c r="R26" s="177"/>
      <c r="S26" s="177"/>
      <c r="T26" s="177"/>
      <c r="U26" s="177"/>
    </row>
    <row r="27" spans="1:21" s="166" customFormat="1" ht="12.75">
      <c r="A27" s="347" t="str">
        <f>Calc!A$172</f>
        <v>C_APP8016WN</v>
      </c>
      <c r="B27" s="150"/>
      <c r="C27" s="151"/>
      <c r="D27" s="39"/>
      <c r="E27" s="177" t="str">
        <f>Calc!E$172</f>
        <v>Water network plus RCV CPIH inflated ~ 1 April (opening balance) at 2017-18 CPIH deflated price base</v>
      </c>
      <c r="F27" s="292">
        <f>Calc!F$172</f>
        <v>3.9085193247444225</v>
      </c>
      <c r="G27" s="177" t="str">
        <f>Calc!G$172</f>
        <v>£m</v>
      </c>
      <c r="H27" s="177"/>
      <c r="I27" s="177"/>
      <c r="J27" s="177"/>
      <c r="K27" s="177"/>
      <c r="L27" s="177"/>
      <c r="M27" s="177"/>
      <c r="N27" s="177"/>
      <c r="O27" s="177"/>
      <c r="P27" s="177"/>
      <c r="Q27" s="177"/>
      <c r="R27" s="177"/>
      <c r="S27" s="177"/>
      <c r="T27" s="177"/>
      <c r="U27" s="177"/>
    </row>
    <row r="28" spans="1:21" s="166" customFormat="1" ht="12.75">
      <c r="A28" s="348"/>
      <c r="B28" s="150"/>
      <c r="C28" s="151"/>
      <c r="D28" s="39"/>
      <c r="E28" s="177"/>
      <c r="F28" s="177"/>
      <c r="G28" s="177"/>
      <c r="H28" s="177"/>
      <c r="I28" s="177"/>
      <c r="J28" s="177"/>
      <c r="K28" s="177"/>
      <c r="L28" s="177"/>
      <c r="M28" s="177"/>
      <c r="N28" s="177"/>
      <c r="O28" s="177"/>
      <c r="P28" s="177"/>
      <c r="Q28" s="177"/>
      <c r="R28" s="177"/>
      <c r="S28" s="177"/>
      <c r="T28" s="177"/>
      <c r="U28" s="177"/>
    </row>
    <row r="29" ht="12.75">
      <c r="A29" s="349"/>
    </row>
    <row r="30" spans="1:2" ht="12.75">
      <c r="A30" s="349"/>
      <c r="B30" s="35" t="s">
        <v>420</v>
      </c>
    </row>
    <row r="31" spans="1:3" ht="12.75">
      <c r="A31" s="349"/>
      <c r="C31" s="34" t="s">
        <v>421</v>
      </c>
    </row>
    <row r="32" spans="1:7" ht="12.75">
      <c r="A32" s="347" t="str">
        <f>Calc!A$70</f>
        <v>C_A7011W</v>
      </c>
      <c r="E32" s="177" t="str">
        <f>Calc!E$70</f>
        <v>Water ~ NPV effect of 50% of proceeds from disposals of interest in land at 2017-18 FYA CPIH deflated price base</v>
      </c>
      <c r="F32" s="292">
        <f>Calc!F$70</f>
        <v>-1.5191840736845845</v>
      </c>
      <c r="G32" s="177" t="str">
        <f>Calc!G$70</f>
        <v>£m</v>
      </c>
    </row>
    <row r="33" spans="1:6" ht="12.75">
      <c r="A33" s="349"/>
      <c r="C33" s="34" t="s">
        <v>422</v>
      </c>
      <c r="F33" s="294"/>
    </row>
    <row r="34" spans="1:7" ht="12.75">
      <c r="A34" s="347" t="str">
        <f>Calc!A$68</f>
        <v>C_APP25003</v>
      </c>
      <c r="E34" s="177" t="str">
        <f>Calc!E$68</f>
        <v>Water ~ Total adjustment RCV carry forward to PR19 at 2017-18 FYA CPIH deflated price base</v>
      </c>
      <c r="F34" s="292">
        <f>Calc!F$68</f>
        <v>3.467956717877618</v>
      </c>
      <c r="G34" s="177" t="str">
        <f>Calc!G$68</f>
        <v>£m</v>
      </c>
    </row>
    <row r="35" spans="1:7" ht="12.75">
      <c r="A35" s="347" t="str">
        <f>Calc!A$69</f>
        <v>C_APP25007</v>
      </c>
      <c r="E35" s="177" t="str">
        <f>Calc!E$69</f>
        <v>Water ~ CIS RCV inflation correction at 2017-18 FYA CPIH deflated price base</v>
      </c>
      <c r="F35" s="292">
        <f>Calc!F$69</f>
        <v>-45.80359842329649</v>
      </c>
      <c r="G35" s="177" t="str">
        <f>Calc!G$69</f>
        <v>£m</v>
      </c>
    </row>
    <row r="36" spans="1:6" ht="12.75">
      <c r="A36" s="349"/>
      <c r="C36" s="34" t="s">
        <v>423</v>
      </c>
      <c r="F36" s="294"/>
    </row>
    <row r="37" spans="1:7" ht="12.75">
      <c r="A37" s="347" t="str">
        <f>Calc!A$71</f>
        <v>C_APP27048</v>
      </c>
      <c r="E37" s="177" t="str">
        <f>Calc!E$71</f>
        <v>ODI end of period RCV adjustment ~ Water resources at 2017-18 FYA CPIH deflated price base</v>
      </c>
      <c r="F37" s="292">
        <f>Calc!F$71</f>
        <v>0</v>
      </c>
      <c r="G37" s="177" t="str">
        <f>Calc!G$71</f>
        <v>£m</v>
      </c>
    </row>
    <row r="38" spans="1:7" ht="12.75">
      <c r="A38" s="347" t="str">
        <f>Calc!A$72</f>
        <v>C_APP27049</v>
      </c>
      <c r="E38" s="177" t="str">
        <f>Calc!E$72</f>
        <v>ODI end of period RCV adjustment  ~ Water network plus at 2017-18 FYA CPIH deflated price base</v>
      </c>
      <c r="F38" s="292">
        <f>Calc!F$72</f>
        <v>0</v>
      </c>
      <c r="G38" s="177" t="str">
        <f>Calc!G$72</f>
        <v>£m</v>
      </c>
    </row>
    <row r="39" spans="1:6" ht="12.75">
      <c r="A39" s="349"/>
      <c r="C39" s="34" t="s">
        <v>424</v>
      </c>
      <c r="F39" s="294"/>
    </row>
    <row r="40" spans="1:7" ht="12.75">
      <c r="A40" s="347" t="str">
        <f>Calc!A$73</f>
        <v>C_WS15027</v>
      </c>
      <c r="E40" s="177" t="str">
        <f>Calc!E$73</f>
        <v>Water: Totex menu RCV adjustment at 2017-18 FYA CPIH deflated price base</v>
      </c>
      <c r="F40" s="292">
        <f>Calc!F$73</f>
        <v>51.6718644285923</v>
      </c>
      <c r="G40" s="177" t="str">
        <f>Calc!G$73</f>
        <v>£m</v>
      </c>
    </row>
    <row r="41" spans="1:6" ht="12.75">
      <c r="A41" s="349"/>
      <c r="C41" s="34" t="s">
        <v>425</v>
      </c>
      <c r="F41" s="294"/>
    </row>
    <row r="42" spans="1:7" ht="12.75">
      <c r="A42" s="347" t="str">
        <f>Calc!A$74</f>
        <v>C030</v>
      </c>
      <c r="E42" s="177" t="str">
        <f>Calc!E$74</f>
        <v>Water ~ Other adjustment to wholesale RCV at 2017-18 FYA CPIH deflated price base</v>
      </c>
      <c r="F42" s="292">
        <f>Calc!F$74</f>
        <v>0</v>
      </c>
      <c r="G42" s="177" t="str">
        <f>Calc!G$74</f>
        <v>£m</v>
      </c>
    </row>
    <row r="45" spans="1:21" ht="12.75" customHeight="1" collapsed="1">
      <c r="A45" s="43" t="s">
        <v>357</v>
      </c>
      <c r="B45" s="43"/>
      <c r="C45" s="44"/>
      <c r="D45" s="43"/>
      <c r="E45" s="43"/>
      <c r="F45" s="43"/>
      <c r="G45" s="43"/>
      <c r="H45" s="43"/>
      <c r="I45" s="43"/>
      <c r="J45" s="43"/>
      <c r="K45" s="43"/>
      <c r="L45" s="43"/>
      <c r="M45" s="43"/>
      <c r="N45" s="43"/>
      <c r="O45" s="43"/>
      <c r="P45" s="43"/>
      <c r="Q45" s="43"/>
      <c r="R45" s="43"/>
      <c r="S45" s="43"/>
      <c r="T45" s="43"/>
      <c r="U45" s="43"/>
    </row>
    <row r="47" ht="12.75">
      <c r="B47" s="35" t="s">
        <v>316</v>
      </c>
    </row>
    <row r="48" spans="1:7" ht="12.75">
      <c r="A48" s="347" t="str">
        <f>Calc!A$214</f>
        <v>C_APP8002WW</v>
      </c>
      <c r="E48" s="177" t="str">
        <f>Calc!E$214</f>
        <v>Wholesale wastewater closing RCV at 31 March 2020 before midnight adjustments at 2017-18 FYE CPIH deflated price base </v>
      </c>
      <c r="F48" s="292">
        <f>Calc!F$214</f>
        <v>0</v>
      </c>
      <c r="G48" s="177" t="str">
        <f>Calc!G$214</f>
        <v>£m</v>
      </c>
    </row>
    <row r="49" spans="1:7" ht="12.75">
      <c r="A49" s="347" t="str">
        <f>Calc!A$215</f>
        <v>C_APP8003WW</v>
      </c>
      <c r="E49" s="177" t="str">
        <f>Calc!E$215</f>
        <v>Wastewater ~ Total adjustment RCV carry forward to PR19 at 2017-18 FYE CPIH deflated price base</v>
      </c>
      <c r="F49" s="292">
        <f>Calc!F$215</f>
        <v>3.692652702554598</v>
      </c>
      <c r="G49" s="177" t="str">
        <f>Calc!G$215</f>
        <v>£m</v>
      </c>
    </row>
    <row r="50" spans="1:7" ht="12.75">
      <c r="A50" s="347" t="str">
        <f>Calc!A$216</f>
        <v>C_APP8004WW</v>
      </c>
      <c r="E50" s="177" t="str">
        <f>Calc!E$216</f>
        <v>Wastewater ~ CIS RCV inflation correction at 2017-18 FYE CPIH deflated price base</v>
      </c>
      <c r="F50" s="292">
        <f>Calc!F$216</f>
        <v>-70.62694571138049</v>
      </c>
      <c r="G50" s="177" t="str">
        <f>Calc!G$216</f>
        <v>£m</v>
      </c>
    </row>
    <row r="51" spans="1:7" ht="12.75">
      <c r="A51" s="347" t="str">
        <f>Calc!A$217</f>
        <v>C_APP8005WW</v>
      </c>
      <c r="E51" s="177" t="str">
        <f>Calc!E$217</f>
        <v>Wastewater ~ NPV effect of 50% of proceeds from disposals of interest in land at 2017-18 FYE CPIH deflated price base</v>
      </c>
      <c r="F51" s="292">
        <f>Calc!F$217</f>
        <v>0.46033744943754273</v>
      </c>
      <c r="G51" s="177" t="str">
        <f>Calc!G$217</f>
        <v>£m</v>
      </c>
    </row>
    <row r="52" spans="1:7" ht="12.75">
      <c r="A52" s="347" t="str">
        <f>Calc!A$218</f>
        <v>C_APP8006WW</v>
      </c>
      <c r="E52" s="177" t="str">
        <f>Calc!E$218</f>
        <v>Wastewater ~ ODI RCV adjustment allocated to Wastewater network plus at 2017-18 FYE CPIH deflated price base</v>
      </c>
      <c r="F52" s="292">
        <f>Calc!F$218</f>
        <v>0</v>
      </c>
      <c r="G52" s="177" t="str">
        <f>Calc!G$218</f>
        <v>£m</v>
      </c>
    </row>
    <row r="53" spans="1:7" ht="12.75">
      <c r="A53" s="347" t="str">
        <f>Calc!A$219</f>
        <v>C_APP8008WW</v>
      </c>
      <c r="E53" s="177" t="str">
        <f>Calc!E$219</f>
        <v>Wastewater ~ Totex menu RCV adjustment at 2017-18 FYE CPIH deflated price base</v>
      </c>
      <c r="F53" s="292">
        <f>Calc!F$219</f>
        <v>-71.76185114999917</v>
      </c>
      <c r="G53" s="177" t="str">
        <f>Calc!G$219</f>
        <v>£m</v>
      </c>
    </row>
    <row r="54" spans="1:7" ht="12.75">
      <c r="A54" s="347" t="str">
        <f>Calc!A$220</f>
        <v>C_APP8009WW</v>
      </c>
      <c r="E54" s="177" t="str">
        <f>Calc!E$220</f>
        <v>Wastewater ~ Other adjustment to wholesale RCV at 2017-18 FYE CPIH deflated price base</v>
      </c>
      <c r="F54" s="360">
        <f>Calc!F$220</f>
        <v>0</v>
      </c>
      <c r="G54" s="177" t="str">
        <f>Calc!G$220</f>
        <v>£m</v>
      </c>
    </row>
    <row r="55" spans="1:7" ht="12.75">
      <c r="A55" s="347" t="str">
        <f>Calc!A$221</f>
        <v>C_APP8010WW</v>
      </c>
      <c r="E55" s="199" t="str">
        <f>Calc!E$221</f>
        <v>Total wholesale wastewater RCV at 31 March 2020 post midnight adjustments before allocation to price control units at 2017-18 FYE CPIH deflated price base</v>
      </c>
      <c r="F55" s="293">
        <f>Calc!F$221</f>
        <v>-138.23580670938753</v>
      </c>
      <c r="G55" s="199" t="str">
        <f>Calc!G$221</f>
        <v>£m</v>
      </c>
    </row>
    <row r="56" spans="5:7" ht="12.75">
      <c r="E56" s="177"/>
      <c r="F56" s="177"/>
      <c r="G56" s="177"/>
    </row>
    <row r="57" ht="12.75">
      <c r="B57" s="35" t="s">
        <v>419</v>
      </c>
    </row>
    <row r="58" spans="1:7" ht="12.75">
      <c r="A58" s="347" t="str">
        <f>Calc!A$244</f>
        <v>C_RCV1011BIO_FYA</v>
      </c>
      <c r="C58" s="300"/>
      <c r="D58" s="301"/>
      <c r="E58" s="314" t="str">
        <f>Calc!E$244</f>
        <v>Bioresources RCV (prior to midnight adjustments) 31 March 2020 at 2017-18 FYA CPIH deflated price base</v>
      </c>
      <c r="F58" s="314">
        <f>Calc!F$244</f>
        <v>0</v>
      </c>
      <c r="G58" s="314" t="str">
        <f>Calc!G$244</f>
        <v>£m</v>
      </c>
    </row>
    <row r="59" spans="1:7" ht="12.75">
      <c r="A59" s="347" t="str">
        <f>Calc!A$253</f>
        <v>C_APP8022WWN</v>
      </c>
      <c r="C59" s="272"/>
      <c r="D59" s="245"/>
      <c r="E59" s="313" t="str">
        <f>Calc!E$253</f>
        <v>Wastewater network plus IFRS16 RCV adjustment at 2017-18 FYA CPIH deflated price base</v>
      </c>
      <c r="F59" s="313">
        <f>Calc!F$253</f>
        <v>0</v>
      </c>
      <c r="G59" s="313" t="str">
        <f>Calc!G$253</f>
        <v>£m</v>
      </c>
    </row>
    <row r="60" spans="1:21" s="166" customFormat="1" ht="12.75">
      <c r="A60" s="347" t="str">
        <f>Calc!A$296</f>
        <v>C_APP8014WWN</v>
      </c>
      <c r="B60" s="150"/>
      <c r="C60" s="151"/>
      <c r="D60" s="39"/>
      <c r="E60" s="177" t="str">
        <f>Calc!E$296</f>
        <v>Wastewater network plus RCV RPI inflated ~ 1 April (opening balance) at 2017-18 CPIH deflated price base</v>
      </c>
      <c r="F60" s="292">
        <f>Calc!F$296</f>
        <v>-68.53698853106566</v>
      </c>
      <c r="G60" s="177" t="str">
        <f>Calc!G$296</f>
        <v>£m</v>
      </c>
      <c r="H60" s="177"/>
      <c r="I60" s="177"/>
      <c r="J60" s="177"/>
      <c r="K60" s="177"/>
      <c r="L60" s="177"/>
      <c r="M60" s="177"/>
      <c r="N60" s="177"/>
      <c r="O60" s="177"/>
      <c r="P60" s="177"/>
      <c r="Q60" s="177"/>
      <c r="R60" s="177"/>
      <c r="S60" s="177"/>
      <c r="T60" s="177"/>
      <c r="U60" s="177"/>
    </row>
    <row r="61" spans="1:21" s="166" customFormat="1" ht="12.75">
      <c r="A61" s="347" t="str">
        <f>Calc!A$300</f>
        <v>C_APP8016WWN</v>
      </c>
      <c r="B61" s="150"/>
      <c r="C61" s="151"/>
      <c r="D61" s="39"/>
      <c r="E61" s="177" t="str">
        <f>Calc!E$300</f>
        <v>Wastewater network plus RCV CPIH inflated ~ 1 April (opening balance) at 2017-18 CPIH deflated price base</v>
      </c>
      <c r="F61" s="292">
        <f>Calc!F$300</f>
        <v>-68.53698853106566</v>
      </c>
      <c r="G61" s="177" t="str">
        <f>Calc!G$300</f>
        <v>£m</v>
      </c>
      <c r="H61" s="177"/>
      <c r="I61" s="177"/>
      <c r="J61" s="177"/>
      <c r="K61" s="177"/>
      <c r="L61" s="177"/>
      <c r="M61" s="177"/>
      <c r="N61" s="177"/>
      <c r="O61" s="177"/>
      <c r="P61" s="177"/>
      <c r="Q61" s="177"/>
      <c r="R61" s="177"/>
      <c r="S61" s="177"/>
      <c r="T61" s="177"/>
      <c r="U61" s="177"/>
    </row>
    <row r="62" ht="12.75">
      <c r="A62" s="4"/>
    </row>
    <row r="63" spans="1:7" ht="12.75">
      <c r="A63" s="347" t="str">
        <f>Calc!A$252</f>
        <v>C_APP8022BIO</v>
      </c>
      <c r="C63" s="272"/>
      <c r="D63" s="245"/>
      <c r="E63" s="313" t="str">
        <f>Calc!E$252</f>
        <v>Bioresources IFRS16 RCV adjustment at 2017-18 FYA CPIH deflated price base</v>
      </c>
      <c r="F63" s="313">
        <f>Calc!F$252</f>
        <v>0</v>
      </c>
      <c r="G63" s="313" t="str">
        <f>Calc!G$252</f>
        <v>£m</v>
      </c>
    </row>
    <row r="64" spans="1:21" s="166" customFormat="1" ht="12.75">
      <c r="A64" s="347" t="str">
        <f>Calc!A$329</f>
        <v>C_APP8014BIO</v>
      </c>
      <c r="B64" s="150"/>
      <c r="C64" s="151"/>
      <c r="D64" s="39"/>
      <c r="E64" s="177" t="str">
        <f>Calc!E$329</f>
        <v>Bioresources 2020 RCV RPI inflated ~ 1 April (opening balance) at 2017-18 CPIH deflated price base</v>
      </c>
      <c r="F64" s="292">
        <f>Calc!F$329</f>
        <v>0</v>
      </c>
      <c r="G64" s="177" t="str">
        <f>Calc!G$329</f>
        <v>£m</v>
      </c>
      <c r="H64" s="177"/>
      <c r="I64" s="177"/>
      <c r="J64" s="177"/>
      <c r="K64" s="177"/>
      <c r="L64" s="177"/>
      <c r="M64" s="177"/>
      <c r="N64" s="177"/>
      <c r="O64" s="177"/>
      <c r="P64" s="177"/>
      <c r="Q64" s="177"/>
      <c r="R64" s="177"/>
      <c r="S64" s="177"/>
      <c r="T64" s="177"/>
      <c r="U64" s="177"/>
    </row>
    <row r="65" spans="1:21" s="166" customFormat="1" ht="12.75">
      <c r="A65" s="347" t="str">
        <f>Calc!A$333</f>
        <v>C_APP8016BIO</v>
      </c>
      <c r="B65" s="150"/>
      <c r="C65" s="151"/>
      <c r="D65" s="39"/>
      <c r="E65" s="177" t="str">
        <f>Calc!E$333</f>
        <v>Bioresources 2020 RCV CPIH inflated ~ 1 April (opening balance) at 2017-18 CPIH deflated price base</v>
      </c>
      <c r="F65" s="292">
        <f>Calc!F$333</f>
        <v>0</v>
      </c>
      <c r="G65" s="177" t="str">
        <f>Calc!G$333</f>
        <v>£m</v>
      </c>
      <c r="H65" s="177"/>
      <c r="I65" s="177"/>
      <c r="J65" s="177"/>
      <c r="K65" s="177"/>
      <c r="L65" s="177"/>
      <c r="M65" s="177"/>
      <c r="N65" s="177"/>
      <c r="O65" s="177"/>
      <c r="P65" s="177"/>
      <c r="Q65" s="177"/>
      <c r="R65" s="177"/>
      <c r="S65" s="177"/>
      <c r="T65" s="177"/>
      <c r="U65" s="177"/>
    </row>
    <row r="68" ht="12.75">
      <c r="B68" s="35" t="s">
        <v>420</v>
      </c>
    </row>
    <row r="69" ht="12.75">
      <c r="C69" s="34" t="s">
        <v>421</v>
      </c>
    </row>
    <row r="70" spans="1:7" ht="12.75">
      <c r="A70" s="347" t="str">
        <f>Calc!A$235</f>
        <v>C_A7011WW</v>
      </c>
      <c r="E70" s="177" t="str">
        <f>Calc!E$235</f>
        <v>Wastewater ~ NPV effect of 50% of proceeds from disposals of interest in land at 2017-18 FYA CPIH deflated price base</v>
      </c>
      <c r="F70" s="292">
        <f>Calc!F$235</f>
        <v>0.4564684540648517</v>
      </c>
      <c r="G70" s="177" t="str">
        <f>Calc!G$235</f>
        <v>£m</v>
      </c>
    </row>
    <row r="71" spans="1:3" ht="12.75">
      <c r="A71" s="347"/>
      <c r="C71" s="34" t="s">
        <v>422</v>
      </c>
    </row>
    <row r="72" spans="1:7" ht="12.75">
      <c r="A72" s="347" t="str">
        <f>Calc!A$233</f>
        <v>C_APP25005</v>
      </c>
      <c r="E72" s="177" t="str">
        <f>Calc!E$233</f>
        <v>Wastewater ~ Total Adjustment RCV carry forward to PR19 at 2017-18 FYA CPIH deflated price base</v>
      </c>
      <c r="F72" s="292">
        <f>Calc!F$233</f>
        <v>3.6616170867545037</v>
      </c>
      <c r="G72" s="177" t="str">
        <f>Calc!G$233</f>
        <v>£m</v>
      </c>
    </row>
    <row r="73" spans="1:7" ht="12.75">
      <c r="A73" s="347" t="str">
        <f>Calc!A$234</f>
        <v>C_APP25008</v>
      </c>
      <c r="E73" s="177" t="str">
        <f>Calc!E$234</f>
        <v>Wastewater ~ CIS RCV inflation correction at 2017-18 FYA CPIH deflated price base</v>
      </c>
      <c r="F73" s="292">
        <f>Calc!F$234</f>
        <v>-70.03334784859851</v>
      </c>
      <c r="G73" s="177" t="str">
        <f>Calc!G$234</f>
        <v>£m</v>
      </c>
    </row>
    <row r="74" spans="1:3" ht="12.75">
      <c r="A74" s="4"/>
      <c r="C74" s="34" t="s">
        <v>423</v>
      </c>
    </row>
    <row r="75" spans="1:7" ht="12.75">
      <c r="A75" s="347" t="str">
        <f>Calc!A$236</f>
        <v>C_APP27050</v>
      </c>
      <c r="E75" s="177" t="str">
        <f>Calc!E$236</f>
        <v>ODI end of period RCV adjustment ~ Wastewater network plus at 2017-18 FYA CPIH deflated price base</v>
      </c>
      <c r="F75" s="292">
        <f>Calc!F$236</f>
        <v>0</v>
      </c>
      <c r="G75" s="177" t="str">
        <f>Calc!G$236</f>
        <v>£m</v>
      </c>
    </row>
    <row r="76" spans="1:3" ht="12.75">
      <c r="A76" s="4"/>
      <c r="C76" s="34" t="s">
        <v>426</v>
      </c>
    </row>
    <row r="77" spans="1:7" ht="12.75">
      <c r="A77" s="347" t="str">
        <f>Calc!A$237</f>
        <v>C_WWS15022</v>
      </c>
      <c r="E77" s="177" t="str">
        <f>Calc!E$237</f>
        <v>Wastewater: Totex menu RCV adjustment at 2017-18 FYA CPIH deflated price base</v>
      </c>
      <c r="F77" s="292">
        <f>Calc!F$237</f>
        <v>-71.15871475435219</v>
      </c>
      <c r="G77" s="177" t="str">
        <f>Calc!G$237</f>
        <v>£m</v>
      </c>
    </row>
    <row r="78" spans="1:3" ht="12.75">
      <c r="A78" s="4"/>
      <c r="C78" s="34" t="s">
        <v>425</v>
      </c>
    </row>
    <row r="79" spans="1:7" ht="12.75">
      <c r="A79" s="347" t="str">
        <f>Calc!A$238</f>
        <v>C040</v>
      </c>
      <c r="E79" s="177" t="str">
        <f>Calc!E$238</f>
        <v>Wastewater ~ Other adjustment to wholesale RCV at 2017-18 FYA CPIH deflated price base</v>
      </c>
      <c r="F79" s="360">
        <f>Calc!F$238</f>
        <v>0</v>
      </c>
      <c r="G79" s="177" t="str">
        <f>Calc!G$238</f>
        <v>£m</v>
      </c>
    </row>
    <row r="80" spans="1:7" ht="12.75">
      <c r="A80" s="4"/>
      <c r="E80" s="177"/>
      <c r="F80" s="177"/>
      <c r="G80" s="177"/>
    </row>
    <row r="82" spans="1:21" ht="12.75" customHeight="1" collapsed="1">
      <c r="A82" s="43" t="s">
        <v>427</v>
      </c>
      <c r="B82" s="43"/>
      <c r="C82" s="44"/>
      <c r="D82" s="43"/>
      <c r="E82" s="43"/>
      <c r="F82" s="43"/>
      <c r="G82" s="43"/>
      <c r="H82" s="43"/>
      <c r="I82" s="43"/>
      <c r="J82" s="43"/>
      <c r="K82" s="43"/>
      <c r="L82" s="43"/>
      <c r="M82" s="43"/>
      <c r="N82" s="43"/>
      <c r="O82" s="43"/>
      <c r="P82" s="43"/>
      <c r="Q82" s="43"/>
      <c r="R82" s="43"/>
      <c r="S82" s="43"/>
      <c r="T82" s="43"/>
      <c r="U82" s="43"/>
    </row>
    <row r="84" ht="12.75">
      <c r="B84" s="35" t="s">
        <v>316</v>
      </c>
    </row>
    <row r="85" spans="1:7" ht="12.75">
      <c r="A85" s="347" t="str">
        <f>Calc!A$371</f>
        <v>C_APP8002DMMY</v>
      </c>
      <c r="E85" s="177" t="str">
        <f>Calc!E$371</f>
        <v>Dummy RCV (prior to midnight adjustments) 31 March 2020 at 2017-18 FYE CPIH deflated price base</v>
      </c>
      <c r="F85" s="292">
        <f>Calc!F$371</f>
        <v>0</v>
      </c>
      <c r="G85" s="177" t="str">
        <f>Calc!G$371</f>
        <v>£m</v>
      </c>
    </row>
    <row r="86" spans="1:21" s="244" customFormat="1" ht="12.75">
      <c r="A86" s="347" t="str">
        <f>Calc!A$372</f>
        <v>C_APP8006DMMY</v>
      </c>
      <c r="B86" s="35"/>
      <c r="C86" s="34"/>
      <c r="D86" s="4"/>
      <c r="E86" s="177" t="str">
        <f>Calc!E$372</f>
        <v>ODI end of period RCV adjustment allocated to dummy at 2017-18 FYE CPIH deflated price base</v>
      </c>
      <c r="F86" s="292">
        <f>Calc!F$372</f>
        <v>0</v>
      </c>
      <c r="G86" s="177" t="str">
        <f>Calc!G$372</f>
        <v>£m</v>
      </c>
      <c r="H86"/>
      <c r="I86"/>
      <c r="J86"/>
      <c r="K86"/>
      <c r="L86"/>
      <c r="M86"/>
      <c r="N86"/>
      <c r="O86"/>
      <c r="P86"/>
      <c r="Q86"/>
      <c r="R86"/>
      <c r="S86"/>
      <c r="T86"/>
      <c r="U86"/>
    </row>
    <row r="87" spans="1:21" s="244" customFormat="1" ht="12.75">
      <c r="A87" s="347" t="str">
        <f>Calc!A$373</f>
        <v>C_APP8008DMMY</v>
      </c>
      <c r="B87" s="35"/>
      <c r="C87" s="34"/>
      <c r="D87" s="4"/>
      <c r="E87" s="321" t="str">
        <f>Calc!E$373</f>
        <v>Dummy ~ Totex menu RCV adjustment at 2017-18 FYE CPIH deflated price base</v>
      </c>
      <c r="F87" s="321">
        <f>Calc!F$373</f>
        <v>0</v>
      </c>
      <c r="G87" s="321" t="str">
        <f>Calc!G$373</f>
        <v>£m</v>
      </c>
      <c r="H87"/>
      <c r="I87"/>
      <c r="J87"/>
      <c r="K87"/>
      <c r="L87"/>
      <c r="M87"/>
      <c r="N87"/>
      <c r="O87"/>
      <c r="P87"/>
      <c r="Q87"/>
      <c r="R87"/>
      <c r="S87"/>
      <c r="T87"/>
      <c r="U87"/>
    </row>
    <row r="88" spans="1:21" s="244" customFormat="1" ht="12.75">
      <c r="A88" s="347" t="str">
        <f>Calc!A$375</f>
        <v>C_APP8009DMMY</v>
      </c>
      <c r="B88" s="35"/>
      <c r="C88" s="34"/>
      <c r="D88" s="4"/>
      <c r="E88" s="332" t="str">
        <f>Calc!E$375</f>
        <v>Dummy: NPV effect of 100% of proceeds from disposals of interest in land at 2017-18 FYE CPIH deflated price base</v>
      </c>
      <c r="F88" s="332">
        <f>Calc!F$375</f>
        <v>0</v>
      </c>
      <c r="G88" s="332" t="str">
        <f>Calc!G$375</f>
        <v>£m</v>
      </c>
      <c r="H88"/>
      <c r="I88"/>
      <c r="J88"/>
      <c r="K88"/>
      <c r="L88"/>
      <c r="M88"/>
      <c r="N88"/>
      <c r="O88"/>
      <c r="P88"/>
      <c r="Q88"/>
      <c r="R88"/>
      <c r="S88"/>
      <c r="T88"/>
      <c r="U88"/>
    </row>
    <row r="89" spans="1:21" s="244" customFormat="1" ht="12.75">
      <c r="A89" s="347" t="str">
        <f>Calc!A$374</f>
        <v>C_APP8005DMMY</v>
      </c>
      <c r="B89" s="35"/>
      <c r="C89" s="34"/>
      <c r="D89" s="4"/>
      <c r="E89" s="332" t="str">
        <f>Calc!E$374</f>
        <v>Dummy ~ Other adjustment to wholesale RCV at 2017-18 FYE CPIH deflated price base</v>
      </c>
      <c r="F89" s="332">
        <f>Calc!F$374</f>
        <v>0</v>
      </c>
      <c r="G89" s="332" t="str">
        <f>Calc!G$374</f>
        <v>£m</v>
      </c>
      <c r="H89"/>
      <c r="I89"/>
      <c r="J89"/>
      <c r="K89"/>
      <c r="L89"/>
      <c r="M89"/>
      <c r="N89"/>
      <c r="O89"/>
      <c r="P89"/>
      <c r="Q89"/>
      <c r="R89"/>
      <c r="S89"/>
      <c r="T89"/>
      <c r="U89"/>
    </row>
    <row r="90" spans="1:7" ht="12.75">
      <c r="A90" s="347" t="str">
        <f>Calc!A$376</f>
        <v>C_APP8010DMMY</v>
      </c>
      <c r="E90" s="199" t="str">
        <f>Calc!E$376</f>
        <v>Total dummy RCV at 31 March 2020 post midnight adjustments at 2017-18 FYE CPIH deflated price base</v>
      </c>
      <c r="F90" s="333">
        <f>Calc!F$376</f>
        <v>0</v>
      </c>
      <c r="G90" s="199" t="str">
        <f>Calc!G$376</f>
        <v>£m</v>
      </c>
    </row>
    <row r="91" ht="12.75">
      <c r="A91" s="4"/>
    </row>
    <row r="92" spans="1:2" ht="12.75">
      <c r="A92" s="4"/>
      <c r="B92" s="35" t="s">
        <v>419</v>
      </c>
    </row>
    <row r="93" spans="1:7" ht="12.75">
      <c r="A93" s="347" t="str">
        <f>Calc!A$396</f>
        <v>C_APP8022DMMY</v>
      </c>
      <c r="C93" s="272"/>
      <c r="D93" s="245"/>
      <c r="E93" s="313" t="str">
        <f>Calc!E$396</f>
        <v>Dummy IFRS16 RCV adjustment at 2017-18 FYA CPIH deflated price base</v>
      </c>
      <c r="F93" s="313">
        <f>Calc!F$396</f>
        <v>0</v>
      </c>
      <c r="G93" s="313" t="str">
        <f>Calc!G$396</f>
        <v>£m</v>
      </c>
    </row>
    <row r="94" spans="1:7" ht="12.75">
      <c r="A94" s="347" t="str">
        <f>Calc!A$432</f>
        <v>C_APP8014DMMY</v>
      </c>
      <c r="E94" s="177" t="str">
        <f>Calc!E$432</f>
        <v>Dummy 2020 RCV RPI inflated ~ 1 April (opening balance) at 2017-18 CPIH deflated price base</v>
      </c>
      <c r="F94" s="292">
        <f>Calc!F$432</f>
        <v>0</v>
      </c>
      <c r="G94" s="177" t="str">
        <f>Calc!G$432</f>
        <v>£m</v>
      </c>
    </row>
    <row r="95" spans="1:7" ht="12.75">
      <c r="A95" s="347" t="str">
        <f>Calc!A$436</f>
        <v>C_APP8016DMMY</v>
      </c>
      <c r="E95" s="177" t="str">
        <f>Calc!E$436</f>
        <v>Dummy 2020 RCV CPIH inflated ~ 1 April (opening balance) at 2017-18 CPIH deflated price base</v>
      </c>
      <c r="F95" s="292">
        <f>Calc!F$436</f>
        <v>0</v>
      </c>
      <c r="G95" s="177" t="str">
        <f>Calc!G$436</f>
        <v>£m</v>
      </c>
    </row>
    <row r="96" spans="1:7" ht="12.75">
      <c r="A96" s="4"/>
      <c r="E96" s="177"/>
      <c r="F96" s="177"/>
      <c r="G96" s="177"/>
    </row>
    <row r="97" spans="1:3" ht="12.75">
      <c r="A97" s="4"/>
      <c r="B97" s="35" t="s">
        <v>420</v>
      </c>
      <c r="C97" s="35"/>
    </row>
    <row r="98" spans="1:3" ht="12.75">
      <c r="A98" s="4"/>
      <c r="C98" s="34" t="s">
        <v>421</v>
      </c>
    </row>
    <row r="99" spans="1:7" ht="12.75">
      <c r="A99" s="347" t="str">
        <f>Calc!A$389</f>
        <v>C_A7011DMMY</v>
      </c>
      <c r="E99" s="332" t="str">
        <f>Calc!E$389</f>
        <v>Dummy: NPV effect of 100% of proceeds from disposals of interest in land at 2017-18 FYA CPIH deflated price base</v>
      </c>
      <c r="F99" s="332">
        <f>Calc!F$389</f>
        <v>0</v>
      </c>
      <c r="G99" s="332" t="str">
        <f>Calc!G$389</f>
        <v>£m</v>
      </c>
    </row>
    <row r="100" spans="1:3" ht="12.75">
      <c r="A100" s="4"/>
      <c r="C100" s="34" t="s">
        <v>423</v>
      </c>
    </row>
    <row r="101" spans="1:21" s="244" customFormat="1" ht="12.75">
      <c r="A101" s="347" t="str">
        <f>Calc!A$386</f>
        <v>C_APP27051</v>
      </c>
      <c r="B101" s="35"/>
      <c r="C101" s="34"/>
      <c r="D101" s="4"/>
      <c r="E101" s="177" t="str">
        <f>Calc!E$386</f>
        <v>ODI end of period RCV adjustment  ~ Thames Tideway at 2017-18 FYA CPIH deflated price base</v>
      </c>
      <c r="F101" s="292">
        <f>Calc!F$386</f>
        <v>0</v>
      </c>
      <c r="G101" s="177" t="str">
        <f>Calc!G$386</f>
        <v>£m</v>
      </c>
      <c r="H101"/>
      <c r="I101"/>
      <c r="J101"/>
      <c r="K101"/>
      <c r="L101"/>
      <c r="M101"/>
      <c r="N101"/>
      <c r="O101"/>
      <c r="P101"/>
      <c r="Q101"/>
      <c r="R101"/>
      <c r="S101"/>
      <c r="T101"/>
      <c r="U101"/>
    </row>
    <row r="102" spans="1:3" ht="12.75">
      <c r="A102" s="4"/>
      <c r="C102" s="34" t="s">
        <v>428</v>
      </c>
    </row>
    <row r="103" spans="1:7" ht="12.75">
      <c r="A103" s="347" t="str">
        <f>Calc!A$387</f>
        <v>C_WWS15022DMMY</v>
      </c>
      <c r="E103" s="321" t="str">
        <f>Calc!E$387</f>
        <v>Dummy ~ Totex menu RCV adjustment at 2017-18 FYA CPIH deflated price base</v>
      </c>
      <c r="F103" s="321">
        <f>Calc!F$387</f>
        <v>0</v>
      </c>
      <c r="G103" s="321" t="str">
        <f>Calc!G$387</f>
        <v>£m</v>
      </c>
    </row>
    <row r="104" ht="12.75">
      <c r="A104" s="4"/>
    </row>
  </sheetData>
  <sheetProtection/>
  <conditionalFormatting sqref="F1">
    <cfRule type="expression" priority="2" dxfId="2">
      <formula>$F$1="Notionalised"</formula>
    </cfRule>
  </conditionalFormatting>
  <conditionalFormatting sqref="G1">
    <cfRule type="expression" priority="1" dxfId="2">
      <formula>$F$1="Notionalised"</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38" r:id="rId1"/>
  <headerFooter>
    <oddHeader>&amp;L&amp;F&amp;CSheet: &amp;A&amp;ROFFICIAL</oddHeader>
    <oddFooter>&amp;LPrinted on &amp;D at &amp;T&amp;CPage &amp;P of &amp;N&amp;ROfwat</oddFoot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H82"/>
  <sheetViews>
    <sheetView zoomScalePageLayoutView="0" workbookViewId="0" topLeftCell="A1">
      <pane xSplit="5" ySplit="2" topLeftCell="F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9.57421875" style="342" bestFit="1" customWidth="1"/>
    <col min="2" max="2" width="17.8515625" style="342" customWidth="1"/>
    <col min="3" max="3" width="25.8515625" style="342" customWidth="1"/>
    <col min="4" max="4" width="3.7109375" style="342" customWidth="1"/>
    <col min="5" max="5" width="17.57421875" style="342" customWidth="1"/>
    <col min="6" max="7" width="8.7109375" style="342" customWidth="1"/>
    <col min="8" max="8" width="16.28125" style="342" customWidth="1"/>
    <col min="9" max="16384" width="9.140625" style="342" customWidth="1"/>
  </cols>
  <sheetData>
    <row r="1" ht="12.75">
      <c r="C1" s="342" t="s">
        <v>680</v>
      </c>
    </row>
    <row r="2" spans="1:8" ht="12.75">
      <c r="A2" s="342" t="s">
        <v>429</v>
      </c>
      <c r="B2" s="342" t="s">
        <v>430</v>
      </c>
      <c r="C2" s="342" t="s">
        <v>431</v>
      </c>
      <c r="D2" s="342" t="s">
        <v>134</v>
      </c>
      <c r="E2" s="342" t="s">
        <v>432</v>
      </c>
      <c r="F2" s="342" t="s">
        <v>441</v>
      </c>
      <c r="G2" s="342" t="s">
        <v>462</v>
      </c>
      <c r="H2" s="341" t="s">
        <v>442</v>
      </c>
    </row>
    <row r="4" spans="2:8" s="344" customFormat="1" ht="12.75">
      <c r="B4" s="344" t="s">
        <v>602</v>
      </c>
      <c r="C4" s="351" t="s">
        <v>140</v>
      </c>
      <c r="D4" s="344" t="s">
        <v>443</v>
      </c>
      <c r="E4" s="344" t="s">
        <v>444</v>
      </c>
      <c r="F4" s="353"/>
      <c r="G4" s="353"/>
      <c r="H4" s="353">
        <f>Inputs!$F$13</f>
        <v>41000</v>
      </c>
    </row>
    <row r="5" spans="2:8" s="344" customFormat="1" ht="12.75">
      <c r="B5" s="344" t="s">
        <v>603</v>
      </c>
      <c r="C5" s="4" t="s">
        <v>144</v>
      </c>
      <c r="D5" s="344" t="s">
        <v>443</v>
      </c>
      <c r="E5" s="344" t="s">
        <v>444</v>
      </c>
      <c r="F5" s="353"/>
      <c r="G5" s="353"/>
      <c r="H5" s="353">
        <f>Inputs!$F$16</f>
        <v>2013</v>
      </c>
    </row>
    <row r="6" spans="2:8" s="344" customFormat="1" ht="12.75">
      <c r="B6" s="344" t="s">
        <v>604</v>
      </c>
      <c r="C6" s="4" t="s">
        <v>147</v>
      </c>
      <c r="D6" s="344" t="s">
        <v>443</v>
      </c>
      <c r="E6" s="344" t="s">
        <v>444</v>
      </c>
      <c r="F6" s="353"/>
      <c r="G6" s="353"/>
      <c r="H6" s="353">
        <f>Inputs!$F$17</f>
        <v>3</v>
      </c>
    </row>
    <row r="7" spans="2:8" s="344" customFormat="1" ht="12.75">
      <c r="B7" s="344" t="s">
        <v>605</v>
      </c>
      <c r="C7" s="4" t="s">
        <v>151</v>
      </c>
      <c r="D7" s="344" t="s">
        <v>463</v>
      </c>
      <c r="E7" s="344" t="s">
        <v>444</v>
      </c>
      <c r="F7" s="352"/>
      <c r="G7" s="352"/>
      <c r="H7" s="352" t="str">
        <f>Inputs!$F$20</f>
        <v>Pre-Fcst</v>
      </c>
    </row>
    <row r="8" spans="2:8" s="344" customFormat="1" ht="12.75">
      <c r="B8" s="344" t="s">
        <v>606</v>
      </c>
      <c r="C8" s="4" t="s">
        <v>154</v>
      </c>
      <c r="D8" s="344" t="s">
        <v>463</v>
      </c>
      <c r="E8" s="344" t="s">
        <v>444</v>
      </c>
      <c r="F8" s="352"/>
      <c r="G8" s="352"/>
      <c r="H8" s="352" t="str">
        <f>Inputs!$F$21</f>
        <v>Forecast</v>
      </c>
    </row>
    <row r="9" spans="2:8" s="344" customFormat="1" ht="12.75">
      <c r="B9" s="344" t="s">
        <v>607</v>
      </c>
      <c r="C9" s="4" t="s">
        <v>156</v>
      </c>
      <c r="D9" s="344" t="s">
        <v>463</v>
      </c>
      <c r="E9" s="344" t="s">
        <v>444</v>
      </c>
      <c r="F9" s="352"/>
      <c r="G9" s="352"/>
      <c r="H9" s="352" t="str">
        <f>Inputs!$F$22</f>
        <v>Post-Fcst</v>
      </c>
    </row>
    <row r="10" spans="2:8" s="344" customFormat="1" ht="12.75">
      <c r="B10" s="344" t="s">
        <v>608</v>
      </c>
      <c r="C10" s="351" t="s">
        <v>159</v>
      </c>
      <c r="D10" s="344" t="s">
        <v>443</v>
      </c>
      <c r="E10" s="344" t="s">
        <v>444</v>
      </c>
      <c r="F10" s="353"/>
      <c r="G10" s="353"/>
      <c r="H10" s="353">
        <f>Inputs!$F$26</f>
        <v>43922</v>
      </c>
    </row>
    <row r="11" spans="2:8" s="344" customFormat="1" ht="12.75">
      <c r="B11" s="344" t="s">
        <v>609</v>
      </c>
      <c r="C11" s="39" t="s">
        <v>160</v>
      </c>
      <c r="D11" s="344" t="s">
        <v>443</v>
      </c>
      <c r="E11" s="344" t="s">
        <v>444</v>
      </c>
      <c r="F11" s="353"/>
      <c r="G11" s="353"/>
      <c r="H11" s="353">
        <f>Inputs!$F$27</f>
        <v>5</v>
      </c>
    </row>
    <row r="12" spans="2:8" s="344" customFormat="1" ht="12.75">
      <c r="B12" s="344" t="s">
        <v>610</v>
      </c>
      <c r="C12" s="37" t="s">
        <v>162</v>
      </c>
      <c r="D12" s="344" t="s">
        <v>463</v>
      </c>
      <c r="E12" s="344" t="s">
        <v>444</v>
      </c>
      <c r="F12" s="352"/>
      <c r="G12" s="352"/>
      <c r="H12" s="352" t="str">
        <f>Inputs!$F$28</f>
        <v>2020-25</v>
      </c>
    </row>
    <row r="13" spans="2:8" s="344" customFormat="1" ht="12.75">
      <c r="B13" s="344" t="s">
        <v>611</v>
      </c>
      <c r="C13" s="354" t="s">
        <v>457</v>
      </c>
      <c r="D13" s="344" t="s">
        <v>443</v>
      </c>
      <c r="E13" s="344" t="s">
        <v>444</v>
      </c>
      <c r="F13" s="353"/>
      <c r="G13" s="353"/>
      <c r="H13" s="353">
        <f>Inputs!$F$69</f>
        <v>2013</v>
      </c>
    </row>
    <row r="14" spans="2:8" s="344" customFormat="1" ht="12.75">
      <c r="B14" s="344" t="s">
        <v>612</v>
      </c>
      <c r="C14" s="354" t="s">
        <v>458</v>
      </c>
      <c r="D14" s="344" t="s">
        <v>443</v>
      </c>
      <c r="E14" s="344" t="s">
        <v>444</v>
      </c>
      <c r="F14" s="353"/>
      <c r="G14" s="353"/>
      <c r="H14" s="353">
        <f>Inputs!$F$70</f>
        <v>2018</v>
      </c>
    </row>
    <row r="15" spans="2:8" s="344" customFormat="1" ht="12.75">
      <c r="B15" s="344" t="s">
        <v>613</v>
      </c>
      <c r="C15" s="354" t="s">
        <v>465</v>
      </c>
      <c r="D15" s="344" t="s">
        <v>443</v>
      </c>
      <c r="E15" s="344" t="s">
        <v>444</v>
      </c>
      <c r="F15" s="353"/>
      <c r="G15" s="353"/>
      <c r="H15" s="353">
        <f>Inputs!$F$71</f>
        <v>2018</v>
      </c>
    </row>
    <row r="16" spans="2:8" s="344" customFormat="1" ht="12.75">
      <c r="B16" s="344" t="s">
        <v>614</v>
      </c>
      <c r="C16" s="354" t="s">
        <v>459</v>
      </c>
      <c r="D16" s="344" t="s">
        <v>443</v>
      </c>
      <c r="E16" s="344" t="s">
        <v>444</v>
      </c>
      <c r="F16" s="353"/>
      <c r="G16" s="353"/>
      <c r="H16" s="353">
        <f>Inputs!$F$72</f>
        <v>2020</v>
      </c>
    </row>
    <row r="17" spans="2:8" s="344" customFormat="1" ht="12.75">
      <c r="B17" s="344" t="s">
        <v>615</v>
      </c>
      <c r="C17" s="355" t="s">
        <v>460</v>
      </c>
      <c r="D17" s="344" t="s">
        <v>443</v>
      </c>
      <c r="E17" s="344" t="s">
        <v>444</v>
      </c>
      <c r="F17" s="353"/>
      <c r="G17" s="353"/>
      <c r="H17" s="353">
        <f>Inputs!$F$76</f>
        <v>2020</v>
      </c>
    </row>
    <row r="18" spans="2:8" s="344" customFormat="1" ht="12.75">
      <c r="B18" s="344" t="s">
        <v>616</v>
      </c>
      <c r="C18" s="355" t="s">
        <v>461</v>
      </c>
      <c r="D18" s="344" t="s">
        <v>443</v>
      </c>
      <c r="E18" s="344" t="s">
        <v>444</v>
      </c>
      <c r="F18" s="353"/>
      <c r="G18" s="353"/>
      <c r="H18" s="353">
        <f>Inputs!$F$77</f>
        <v>2018</v>
      </c>
    </row>
    <row r="19" spans="2:8" s="344" customFormat="1" ht="12.75">
      <c r="B19" s="344" t="s">
        <v>617</v>
      </c>
      <c r="C19" s="344" t="s">
        <v>464</v>
      </c>
      <c r="D19" s="344" t="s">
        <v>443</v>
      </c>
      <c r="E19" s="344" t="s">
        <v>444</v>
      </c>
      <c r="F19" s="353"/>
      <c r="G19" s="353"/>
      <c r="H19" s="353">
        <f>Inputs!$F$78</f>
        <v>2018</v>
      </c>
    </row>
    <row r="20" spans="2:8" s="344" customFormat="1" ht="12.75">
      <c r="B20" s="344" t="s">
        <v>618</v>
      </c>
      <c r="C20" s="4" t="s">
        <v>243</v>
      </c>
      <c r="D20" s="344" t="s">
        <v>443</v>
      </c>
      <c r="E20" s="344" t="s">
        <v>444</v>
      </c>
      <c r="F20" s="353"/>
      <c r="G20" s="353"/>
      <c r="H20" s="353">
        <f>Inputs!$F$133</f>
        <v>12</v>
      </c>
    </row>
    <row r="21" spans="2:8" s="344" customFormat="1" ht="12.75">
      <c r="B21" s="344" t="s">
        <v>619</v>
      </c>
      <c r="C21" s="4" t="s">
        <v>245</v>
      </c>
      <c r="D21" s="344" t="s">
        <v>443</v>
      </c>
      <c r="E21" s="344" t="s">
        <v>444</v>
      </c>
      <c r="F21" s="353"/>
      <c r="G21" s="353"/>
      <c r="H21" s="353">
        <f>Inputs!$F$135</f>
        <v>12</v>
      </c>
    </row>
    <row r="22" spans="2:8" s="344" customFormat="1" ht="12.75">
      <c r="B22" s="344" t="s">
        <v>620</v>
      </c>
      <c r="C22" s="4" t="s">
        <v>246</v>
      </c>
      <c r="D22" s="344" t="s">
        <v>443</v>
      </c>
      <c r="E22" s="344" t="s">
        <v>444</v>
      </c>
      <c r="F22" s="353"/>
      <c r="G22" s="353"/>
      <c r="H22" s="353">
        <f>Inputs!$F$137</f>
        <v>365</v>
      </c>
    </row>
    <row r="23" spans="2:8" s="344" customFormat="1" ht="12.75">
      <c r="B23" s="344" t="s">
        <v>657</v>
      </c>
      <c r="C23" s="4" t="s">
        <v>217</v>
      </c>
      <c r="D23" s="344" t="s">
        <v>180</v>
      </c>
      <c r="E23" s="344" t="s">
        <v>444</v>
      </c>
      <c r="F23" s="358"/>
      <c r="G23" s="358"/>
      <c r="H23" s="359">
        <f>Inputs!$F94</f>
        <v>0.5</v>
      </c>
    </row>
    <row r="24" spans="2:8" s="344" customFormat="1" ht="12.75">
      <c r="B24" s="344" t="s">
        <v>658</v>
      </c>
      <c r="C24" s="4" t="s">
        <v>230</v>
      </c>
      <c r="D24" s="344" t="s">
        <v>180</v>
      </c>
      <c r="E24" s="344" t="s">
        <v>444</v>
      </c>
      <c r="F24" s="358"/>
      <c r="G24" s="358"/>
      <c r="H24" s="359">
        <f>Inputs!$F112</f>
        <v>0.5</v>
      </c>
    </row>
    <row r="25" spans="2:8" s="344" customFormat="1" ht="12.75">
      <c r="B25" s="344" t="s">
        <v>659</v>
      </c>
      <c r="C25" s="4" t="s">
        <v>240</v>
      </c>
      <c r="D25" s="344" t="s">
        <v>180</v>
      </c>
      <c r="E25" s="344" t="s">
        <v>444</v>
      </c>
      <c r="F25" s="358"/>
      <c r="G25" s="358"/>
      <c r="H25" s="359">
        <f>Inputs!$F126</f>
        <v>0.5</v>
      </c>
    </row>
    <row r="26" spans="2:8" ht="12.75">
      <c r="B26" s="342" t="s">
        <v>544</v>
      </c>
      <c r="C26" s="356" t="s">
        <v>317</v>
      </c>
      <c r="D26" s="342" t="s">
        <v>206</v>
      </c>
      <c r="E26" s="342" t="s">
        <v>444</v>
      </c>
      <c r="F26" s="345">
        <f>Summary_Output!$F10</f>
        <v>0</v>
      </c>
      <c r="G26" s="345"/>
      <c r="H26" s="345"/>
    </row>
    <row r="27" spans="2:8" ht="12.75">
      <c r="B27" s="342" t="s">
        <v>545</v>
      </c>
      <c r="C27" s="356" t="s">
        <v>318</v>
      </c>
      <c r="D27" s="342" t="s">
        <v>206</v>
      </c>
      <c r="E27" s="342" t="s">
        <v>444</v>
      </c>
      <c r="F27" s="345">
        <f>Summary_Output!$F11</f>
        <v>3.497350881646611</v>
      </c>
      <c r="G27" s="345"/>
      <c r="H27" s="345"/>
    </row>
    <row r="28" spans="2:8" ht="12.75">
      <c r="B28" s="342" t="s">
        <v>546</v>
      </c>
      <c r="C28" s="356" t="s">
        <v>319</v>
      </c>
      <c r="D28" s="342" t="s">
        <v>206</v>
      </c>
      <c r="E28" s="342" t="s">
        <v>444</v>
      </c>
      <c r="F28" s="345">
        <f>Summary_Output!$F12</f>
        <v>-46.19182658840679</v>
      </c>
      <c r="G28" s="345"/>
      <c r="H28" s="345"/>
    </row>
    <row r="29" spans="2:8" ht="12.75">
      <c r="B29" s="342" t="s">
        <v>547</v>
      </c>
      <c r="C29" s="356" t="s">
        <v>320</v>
      </c>
      <c r="D29" s="342" t="s">
        <v>206</v>
      </c>
      <c r="E29" s="342" t="s">
        <v>444</v>
      </c>
      <c r="F29" s="345">
        <f>Summary_Output!$F13</f>
        <v>-1.532060573909322</v>
      </c>
      <c r="G29" s="345"/>
      <c r="H29" s="345"/>
    </row>
    <row r="30" spans="2:8" ht="12.75">
      <c r="B30" s="342" t="s">
        <v>548</v>
      </c>
      <c r="C30" s="356" t="s">
        <v>321</v>
      </c>
      <c r="D30" s="342" t="s">
        <v>206</v>
      </c>
      <c r="E30" s="342" t="s">
        <v>444</v>
      </c>
      <c r="F30" s="345">
        <f>Summary_Output!$F14</f>
        <v>0</v>
      </c>
      <c r="G30" s="345"/>
      <c r="H30" s="345"/>
    </row>
    <row r="31" spans="2:8" ht="12.75">
      <c r="B31" s="342" t="s">
        <v>549</v>
      </c>
      <c r="C31" s="356" t="s">
        <v>322</v>
      </c>
      <c r="D31" s="342" t="s">
        <v>206</v>
      </c>
      <c r="E31" s="342" t="s">
        <v>444</v>
      </c>
      <c r="F31" s="345">
        <f>Summary_Output!$F15</f>
        <v>0</v>
      </c>
      <c r="G31" s="345"/>
      <c r="H31" s="345"/>
    </row>
    <row r="32" spans="2:8" ht="12.75">
      <c r="B32" s="342" t="s">
        <v>550</v>
      </c>
      <c r="C32" s="356" t="s">
        <v>323</v>
      </c>
      <c r="D32" s="342" t="s">
        <v>206</v>
      </c>
      <c r="E32" s="342" t="s">
        <v>444</v>
      </c>
      <c r="F32" s="345">
        <f>Summary_Output!$F16</f>
        <v>52.109831614697434</v>
      </c>
      <c r="G32" s="345"/>
      <c r="H32" s="345"/>
    </row>
    <row r="33" spans="2:8" ht="12.75">
      <c r="B33" s="342" t="s">
        <v>551</v>
      </c>
      <c r="C33" s="356" t="s">
        <v>324</v>
      </c>
      <c r="D33" s="342" t="s">
        <v>206</v>
      </c>
      <c r="E33" s="342" t="s">
        <v>444</v>
      </c>
      <c r="F33" s="345">
        <f>Summary_Output!$F17</f>
        <v>0</v>
      </c>
      <c r="G33" s="345"/>
      <c r="H33" s="345"/>
    </row>
    <row r="34" spans="2:8" ht="12.75">
      <c r="B34" s="342" t="s">
        <v>552</v>
      </c>
      <c r="C34" s="356" t="s">
        <v>325</v>
      </c>
      <c r="D34" s="342" t="s">
        <v>206</v>
      </c>
      <c r="E34" s="342" t="s">
        <v>444</v>
      </c>
      <c r="F34" s="345">
        <f>Summary_Output!$F18</f>
        <v>7.883295334027935</v>
      </c>
      <c r="G34" s="345"/>
      <c r="H34" s="345"/>
    </row>
    <row r="35" spans="2:8" ht="12.75">
      <c r="B35" s="342" t="s">
        <v>553</v>
      </c>
      <c r="C35" s="356" t="s">
        <v>335</v>
      </c>
      <c r="D35" s="342" t="s">
        <v>206</v>
      </c>
      <c r="E35" s="342" t="s">
        <v>444</v>
      </c>
      <c r="F35" s="345">
        <f>Summary_Output!$F21</f>
        <v>0</v>
      </c>
      <c r="G35" s="345"/>
      <c r="H35" s="345"/>
    </row>
    <row r="36" spans="2:8" ht="12.75">
      <c r="B36" s="342" t="s">
        <v>554</v>
      </c>
      <c r="C36" s="356" t="s">
        <v>345</v>
      </c>
      <c r="D36" s="342" t="s">
        <v>206</v>
      </c>
      <c r="E36" s="342" t="s">
        <v>444</v>
      </c>
      <c r="F36" s="345"/>
      <c r="G36" s="345">
        <f>Summary_Output!$F22</f>
        <v>0</v>
      </c>
      <c r="H36" s="345"/>
    </row>
    <row r="37" spans="2:8" ht="12.75">
      <c r="B37" s="342" t="s">
        <v>555</v>
      </c>
      <c r="C37" s="356" t="s">
        <v>346</v>
      </c>
      <c r="D37" s="342" t="s">
        <v>206</v>
      </c>
      <c r="E37" s="342" t="s">
        <v>444</v>
      </c>
      <c r="F37" s="345"/>
      <c r="G37" s="345">
        <f>Summary_Output!$F23</f>
        <v>0</v>
      </c>
      <c r="H37" s="345"/>
    </row>
    <row r="38" spans="2:8" ht="12.75">
      <c r="B38" s="342" t="s">
        <v>556</v>
      </c>
      <c r="C38" s="356" t="s">
        <v>336</v>
      </c>
      <c r="D38" s="342" t="s">
        <v>206</v>
      </c>
      <c r="E38" s="342" t="s">
        <v>444</v>
      </c>
      <c r="F38" s="345">
        <f>Summary_Output!$F25</f>
        <v>0</v>
      </c>
      <c r="G38" s="345"/>
      <c r="H38" s="345"/>
    </row>
    <row r="39" spans="2:8" ht="12.75">
      <c r="B39" s="342" t="s">
        <v>557</v>
      </c>
      <c r="C39" s="356" t="s">
        <v>355</v>
      </c>
      <c r="D39" s="342" t="s">
        <v>206</v>
      </c>
      <c r="E39" s="342" t="s">
        <v>444</v>
      </c>
      <c r="F39" s="345"/>
      <c r="G39" s="345">
        <f>Summary_Output!$F26</f>
        <v>3.9085193247444225</v>
      </c>
      <c r="H39" s="345"/>
    </row>
    <row r="40" spans="2:8" ht="12.75">
      <c r="B40" s="342" t="s">
        <v>558</v>
      </c>
      <c r="C40" s="356" t="s">
        <v>356</v>
      </c>
      <c r="D40" s="342" t="s">
        <v>206</v>
      </c>
      <c r="E40" s="342" t="s">
        <v>444</v>
      </c>
      <c r="F40" s="345"/>
      <c r="G40" s="345">
        <f>Summary_Output!$F27</f>
        <v>3.9085193247444225</v>
      </c>
      <c r="H40" s="345"/>
    </row>
    <row r="41" spans="2:8" ht="12.75">
      <c r="B41" s="342" t="s">
        <v>672</v>
      </c>
      <c r="C41" s="356" t="s">
        <v>329</v>
      </c>
      <c r="D41" s="342" t="s">
        <v>206</v>
      </c>
      <c r="E41" s="342" t="s">
        <v>444</v>
      </c>
      <c r="F41" s="345">
        <f>Summary_Output!$F32</f>
        <v>-1.5191840736845845</v>
      </c>
      <c r="G41" s="345"/>
      <c r="H41" s="345"/>
    </row>
    <row r="42" spans="1:8" ht="12.75">
      <c r="A42" s="356"/>
      <c r="B42" s="356" t="s">
        <v>668</v>
      </c>
      <c r="C42" s="356" t="s">
        <v>327</v>
      </c>
      <c r="D42" s="342" t="s">
        <v>206</v>
      </c>
      <c r="E42" s="342" t="s">
        <v>444</v>
      </c>
      <c r="F42" s="345">
        <f>Summary_Output!$F34</f>
        <v>3.467956717877618</v>
      </c>
      <c r="G42" s="345"/>
      <c r="H42" s="345"/>
    </row>
    <row r="43" spans="1:8" ht="12.75">
      <c r="A43" s="356"/>
      <c r="B43" s="356" t="s">
        <v>669</v>
      </c>
      <c r="C43" s="356" t="s">
        <v>328</v>
      </c>
      <c r="D43" s="342" t="s">
        <v>206</v>
      </c>
      <c r="E43" s="342" t="s">
        <v>444</v>
      </c>
      <c r="F43" s="345">
        <f>Summary_Output!$F35</f>
        <v>-45.80359842329649</v>
      </c>
      <c r="G43" s="345"/>
      <c r="H43" s="345"/>
    </row>
    <row r="44" spans="2:8" ht="12.75">
      <c r="B44" s="356" t="s">
        <v>691</v>
      </c>
      <c r="C44" s="356" t="s">
        <v>330</v>
      </c>
      <c r="D44" s="342" t="s">
        <v>206</v>
      </c>
      <c r="E44" s="342" t="s">
        <v>444</v>
      </c>
      <c r="F44" s="345">
        <f>Summary_Output!$F37</f>
        <v>0</v>
      </c>
      <c r="G44" s="345"/>
      <c r="H44" s="345"/>
    </row>
    <row r="45" spans="2:8" ht="12.75">
      <c r="B45" s="356" t="s">
        <v>692</v>
      </c>
      <c r="C45" s="356" t="s">
        <v>331</v>
      </c>
      <c r="D45" s="342" t="s">
        <v>206</v>
      </c>
      <c r="E45" s="342" t="s">
        <v>444</v>
      </c>
      <c r="F45" s="345">
        <f>Summary_Output!$F38</f>
        <v>0</v>
      </c>
      <c r="G45" s="345"/>
      <c r="H45" s="345"/>
    </row>
    <row r="46" spans="2:8" ht="12.75">
      <c r="B46" s="356" t="s">
        <v>676</v>
      </c>
      <c r="C46" s="356" t="s">
        <v>332</v>
      </c>
      <c r="D46" s="342" t="s">
        <v>206</v>
      </c>
      <c r="E46" s="342" t="s">
        <v>444</v>
      </c>
      <c r="F46" s="345">
        <f>Summary_Output!$F40</f>
        <v>51.6718644285923</v>
      </c>
      <c r="G46" s="345"/>
      <c r="H46" s="345"/>
    </row>
    <row r="47" spans="2:8" ht="12.75">
      <c r="B47" s="356" t="s">
        <v>684</v>
      </c>
      <c r="C47" s="356" t="s">
        <v>333</v>
      </c>
      <c r="D47" s="342" t="s">
        <v>206</v>
      </c>
      <c r="E47" s="342" t="s">
        <v>444</v>
      </c>
      <c r="F47" s="345">
        <f>Summary_Output!$F42</f>
        <v>0</v>
      </c>
      <c r="G47" s="345"/>
      <c r="H47" s="345"/>
    </row>
    <row r="48" spans="2:8" ht="12.75">
      <c r="B48" s="356" t="s">
        <v>559</v>
      </c>
      <c r="C48" s="356" t="s">
        <v>359</v>
      </c>
      <c r="D48" s="342" t="s">
        <v>206</v>
      </c>
      <c r="E48" s="342" t="s">
        <v>444</v>
      </c>
      <c r="F48" s="345">
        <f>Summary_Output!$F48</f>
        <v>0</v>
      </c>
      <c r="G48" s="345"/>
      <c r="H48" s="345"/>
    </row>
    <row r="49" spans="2:8" ht="12.75">
      <c r="B49" s="356" t="s">
        <v>560</v>
      </c>
      <c r="C49" s="356" t="s">
        <v>360</v>
      </c>
      <c r="D49" s="342" t="s">
        <v>206</v>
      </c>
      <c r="E49" s="342" t="s">
        <v>444</v>
      </c>
      <c r="F49" s="345">
        <f>Summary_Output!$F49</f>
        <v>3.692652702554598</v>
      </c>
      <c r="G49" s="345"/>
      <c r="H49" s="345"/>
    </row>
    <row r="50" spans="2:8" ht="12.75">
      <c r="B50" s="356" t="s">
        <v>561</v>
      </c>
      <c r="C50" s="356" t="s">
        <v>361</v>
      </c>
      <c r="D50" s="342" t="s">
        <v>206</v>
      </c>
      <c r="E50" s="342" t="s">
        <v>444</v>
      </c>
      <c r="F50" s="345">
        <f>Summary_Output!$F50</f>
        <v>-70.62694571138049</v>
      </c>
      <c r="G50" s="345"/>
      <c r="H50" s="345"/>
    </row>
    <row r="51" spans="2:8" ht="12.75">
      <c r="B51" s="356" t="s">
        <v>562</v>
      </c>
      <c r="C51" s="356" t="s">
        <v>362</v>
      </c>
      <c r="D51" s="342" t="s">
        <v>206</v>
      </c>
      <c r="E51" s="342" t="s">
        <v>444</v>
      </c>
      <c r="F51" s="345">
        <f>Summary_Output!$F51</f>
        <v>0.46033744943754273</v>
      </c>
      <c r="G51" s="345"/>
      <c r="H51" s="345"/>
    </row>
    <row r="52" spans="2:8" ht="12.75">
      <c r="B52" s="356" t="s">
        <v>563</v>
      </c>
      <c r="C52" s="356" t="s">
        <v>363</v>
      </c>
      <c r="D52" s="342" t="s">
        <v>206</v>
      </c>
      <c r="E52" s="342" t="s">
        <v>444</v>
      </c>
      <c r="F52" s="345">
        <f>Summary_Output!$F52</f>
        <v>0</v>
      </c>
      <c r="G52" s="345"/>
      <c r="H52" s="345"/>
    </row>
    <row r="53" spans="2:8" ht="12.75">
      <c r="B53" s="356" t="s">
        <v>564</v>
      </c>
      <c r="C53" s="356" t="s">
        <v>364</v>
      </c>
      <c r="D53" s="342" t="s">
        <v>206</v>
      </c>
      <c r="E53" s="342" t="s">
        <v>444</v>
      </c>
      <c r="F53" s="345">
        <f>Summary_Output!$F53</f>
        <v>-71.76185114999917</v>
      </c>
      <c r="G53" s="345"/>
      <c r="H53" s="345"/>
    </row>
    <row r="54" spans="2:8" ht="12.75">
      <c r="B54" s="356" t="s">
        <v>565</v>
      </c>
      <c r="C54" s="356" t="s">
        <v>365</v>
      </c>
      <c r="D54" s="342" t="s">
        <v>206</v>
      </c>
      <c r="E54" s="342" t="s">
        <v>444</v>
      </c>
      <c r="F54" s="361">
        <f>Summary_Output!$F54</f>
        <v>0</v>
      </c>
      <c r="G54" s="345"/>
      <c r="H54" s="345"/>
    </row>
    <row r="55" spans="2:8" ht="12.75">
      <c r="B55" s="356" t="s">
        <v>566</v>
      </c>
      <c r="C55" s="356" t="s">
        <v>366</v>
      </c>
      <c r="D55" s="342" t="s">
        <v>206</v>
      </c>
      <c r="E55" s="342" t="s">
        <v>444</v>
      </c>
      <c r="F55" s="345">
        <f>Summary_Output!$F55</f>
        <v>-138.23580670938753</v>
      </c>
      <c r="G55" s="345"/>
      <c r="H55" s="345"/>
    </row>
    <row r="56" spans="2:8" ht="12.75">
      <c r="B56" s="356" t="s">
        <v>567</v>
      </c>
      <c r="C56" s="356" t="s">
        <v>373</v>
      </c>
      <c r="D56" s="342" t="s">
        <v>206</v>
      </c>
      <c r="E56" s="342" t="s">
        <v>444</v>
      </c>
      <c r="F56" s="345">
        <f>Summary_Output!$F58</f>
        <v>0</v>
      </c>
      <c r="G56" s="345"/>
      <c r="H56" s="345"/>
    </row>
    <row r="57" spans="2:8" ht="12.75">
      <c r="B57" s="356" t="s">
        <v>568</v>
      </c>
      <c r="C57" s="356" t="s">
        <v>375</v>
      </c>
      <c r="D57" s="342" t="s">
        <v>206</v>
      </c>
      <c r="E57" s="342" t="s">
        <v>444</v>
      </c>
      <c r="F57" s="345">
        <f>Summary_Output!$F59</f>
        <v>0</v>
      </c>
      <c r="G57" s="345"/>
      <c r="H57" s="345"/>
    </row>
    <row r="58" spans="2:8" ht="12.75">
      <c r="B58" s="356" t="s">
        <v>569</v>
      </c>
      <c r="C58" s="356" t="s">
        <v>386</v>
      </c>
      <c r="D58" s="342" t="s">
        <v>206</v>
      </c>
      <c r="E58" s="342" t="s">
        <v>444</v>
      </c>
      <c r="F58" s="345"/>
      <c r="G58" s="345">
        <f>Summary_Output!$F60</f>
        <v>-68.53698853106566</v>
      </c>
      <c r="H58" s="345"/>
    </row>
    <row r="59" spans="2:8" ht="12.75">
      <c r="B59" s="356" t="s">
        <v>570</v>
      </c>
      <c r="C59" s="356" t="s">
        <v>387</v>
      </c>
      <c r="D59" s="342" t="s">
        <v>206</v>
      </c>
      <c r="E59" s="342" t="s">
        <v>444</v>
      </c>
      <c r="F59" s="345"/>
      <c r="G59" s="345">
        <f>Summary_Output!$F61</f>
        <v>-68.53698853106566</v>
      </c>
      <c r="H59" s="345"/>
    </row>
    <row r="60" spans="2:8" ht="12.75">
      <c r="B60" s="356" t="s">
        <v>571</v>
      </c>
      <c r="C60" s="356" t="s">
        <v>374</v>
      </c>
      <c r="D60" s="342" t="s">
        <v>206</v>
      </c>
      <c r="E60" s="342" t="s">
        <v>444</v>
      </c>
      <c r="F60" s="345">
        <f>Summary_Output!$F63</f>
        <v>0</v>
      </c>
      <c r="G60" s="345"/>
      <c r="H60" s="345"/>
    </row>
    <row r="61" spans="2:8" ht="12.75">
      <c r="B61" s="356" t="s">
        <v>572</v>
      </c>
      <c r="C61" s="356" t="s">
        <v>395</v>
      </c>
      <c r="D61" s="342" t="s">
        <v>206</v>
      </c>
      <c r="E61" s="342" t="s">
        <v>444</v>
      </c>
      <c r="F61" s="345"/>
      <c r="G61" s="345">
        <f>Summary_Output!$F64</f>
        <v>0</v>
      </c>
      <c r="H61" s="345"/>
    </row>
    <row r="62" spans="2:8" ht="12.75">
      <c r="B62" s="356" t="s">
        <v>573</v>
      </c>
      <c r="C62" s="356" t="s">
        <v>396</v>
      </c>
      <c r="D62" s="342" t="s">
        <v>206</v>
      </c>
      <c r="E62" s="342" t="s">
        <v>444</v>
      </c>
      <c r="F62" s="345"/>
      <c r="G62" s="345">
        <f>Summary_Output!$F65</f>
        <v>0</v>
      </c>
      <c r="H62" s="345"/>
    </row>
    <row r="63" spans="2:8" ht="12.75">
      <c r="B63" s="356" t="s">
        <v>673</v>
      </c>
      <c r="C63" s="356" t="s">
        <v>369</v>
      </c>
      <c r="D63" s="342" t="s">
        <v>206</v>
      </c>
      <c r="E63" s="342" t="s">
        <v>444</v>
      </c>
      <c r="F63" s="345">
        <f>Summary_Output!$F70</f>
        <v>0.4564684540648517</v>
      </c>
      <c r="G63" s="345"/>
      <c r="H63" s="345"/>
    </row>
    <row r="64" spans="1:8" ht="12.75">
      <c r="A64" s="356"/>
      <c r="B64" s="356" t="s">
        <v>664</v>
      </c>
      <c r="C64" s="356" t="s">
        <v>367</v>
      </c>
      <c r="D64" s="342" t="s">
        <v>206</v>
      </c>
      <c r="E64" s="342" t="s">
        <v>444</v>
      </c>
      <c r="F64" s="345">
        <f>Summary_Output!$F72</f>
        <v>3.6616170867545037</v>
      </c>
      <c r="G64" s="345"/>
      <c r="H64" s="345"/>
    </row>
    <row r="65" spans="1:8" ht="12.75">
      <c r="A65" s="356"/>
      <c r="B65" s="356" t="s">
        <v>665</v>
      </c>
      <c r="C65" s="356" t="s">
        <v>368</v>
      </c>
      <c r="D65" s="342" t="s">
        <v>206</v>
      </c>
      <c r="E65" s="342" t="s">
        <v>444</v>
      </c>
      <c r="F65" s="345">
        <f>Summary_Output!$F73</f>
        <v>-70.03334784859851</v>
      </c>
      <c r="G65" s="345"/>
      <c r="H65" s="345"/>
    </row>
    <row r="66" spans="2:8" ht="12.75">
      <c r="B66" s="356" t="s">
        <v>693</v>
      </c>
      <c r="C66" s="356" t="s">
        <v>370</v>
      </c>
      <c r="D66" s="342" t="s">
        <v>206</v>
      </c>
      <c r="E66" s="342" t="s">
        <v>444</v>
      </c>
      <c r="F66" s="345">
        <f>Summary_Output!$F75</f>
        <v>0</v>
      </c>
      <c r="G66" s="345"/>
      <c r="H66" s="345"/>
    </row>
    <row r="67" spans="2:8" ht="12.75">
      <c r="B67" s="356" t="s">
        <v>677</v>
      </c>
      <c r="C67" s="356" t="s">
        <v>371</v>
      </c>
      <c r="D67" s="342" t="s">
        <v>206</v>
      </c>
      <c r="E67" s="342" t="s">
        <v>444</v>
      </c>
      <c r="F67" s="345">
        <f>Summary_Output!$F77</f>
        <v>-71.15871475435219</v>
      </c>
      <c r="G67" s="345"/>
      <c r="H67" s="345"/>
    </row>
    <row r="68" spans="2:8" ht="12.75">
      <c r="B68" s="356" t="s">
        <v>686</v>
      </c>
      <c r="C68" s="356" t="s">
        <v>372</v>
      </c>
      <c r="D68" s="342" t="s">
        <v>206</v>
      </c>
      <c r="E68" s="342" t="s">
        <v>444</v>
      </c>
      <c r="F68" s="361">
        <f>Summary_Output!$F79</f>
        <v>0</v>
      </c>
      <c r="G68" s="345"/>
      <c r="H68" s="345"/>
    </row>
    <row r="69" spans="2:8" ht="12.75">
      <c r="B69" s="356" t="s">
        <v>574</v>
      </c>
      <c r="C69" s="356" t="s">
        <v>399</v>
      </c>
      <c r="D69" s="342" t="s">
        <v>206</v>
      </c>
      <c r="E69" s="342" t="s">
        <v>444</v>
      </c>
      <c r="F69" s="345">
        <f>Summary_Output!$F85</f>
        <v>0</v>
      </c>
      <c r="G69" s="345"/>
      <c r="H69" s="345"/>
    </row>
    <row r="70" spans="2:8" ht="12.75">
      <c r="B70" s="356" t="s">
        <v>575</v>
      </c>
      <c r="C70" s="356" t="s">
        <v>400</v>
      </c>
      <c r="D70" s="342" t="s">
        <v>206</v>
      </c>
      <c r="E70" s="342" t="s">
        <v>444</v>
      </c>
      <c r="F70" s="345">
        <f>Summary_Output!$F86</f>
        <v>0</v>
      </c>
      <c r="G70" s="345"/>
      <c r="H70" s="345"/>
    </row>
    <row r="71" spans="2:8" ht="12.75">
      <c r="B71" s="356" t="s">
        <v>576</v>
      </c>
      <c r="C71" s="356" t="s">
        <v>401</v>
      </c>
      <c r="D71" s="342" t="s">
        <v>206</v>
      </c>
      <c r="E71" s="342" t="s">
        <v>444</v>
      </c>
      <c r="F71" s="345">
        <f>Summary_Output!$F87</f>
        <v>0</v>
      </c>
      <c r="G71" s="345"/>
      <c r="H71" s="345"/>
    </row>
    <row r="72" spans="2:8" ht="12.75">
      <c r="B72" s="356" t="s">
        <v>577</v>
      </c>
      <c r="C72" s="356" t="s">
        <v>403</v>
      </c>
      <c r="D72" s="342" t="s">
        <v>206</v>
      </c>
      <c r="E72" s="342" t="s">
        <v>444</v>
      </c>
      <c r="F72" s="345">
        <f>Summary_Output!$F88</f>
        <v>0</v>
      </c>
      <c r="G72" s="345"/>
      <c r="H72" s="345"/>
    </row>
    <row r="73" spans="2:8" ht="12.75">
      <c r="B73" s="356" t="s">
        <v>578</v>
      </c>
      <c r="C73" s="356" t="s">
        <v>402</v>
      </c>
      <c r="D73" s="342" t="s">
        <v>206</v>
      </c>
      <c r="E73" s="342" t="s">
        <v>444</v>
      </c>
      <c r="F73" s="345">
        <f>Summary_Output!$F89</f>
        <v>0</v>
      </c>
      <c r="G73" s="345"/>
      <c r="H73" s="345"/>
    </row>
    <row r="74" spans="2:8" ht="12.75">
      <c r="B74" s="356" t="s">
        <v>579</v>
      </c>
      <c r="C74" s="356" t="s">
        <v>404</v>
      </c>
      <c r="D74" s="342" t="s">
        <v>206</v>
      </c>
      <c r="E74" s="342" t="s">
        <v>444</v>
      </c>
      <c r="F74" s="345">
        <f>Summary_Output!$F90</f>
        <v>0</v>
      </c>
      <c r="G74" s="345"/>
      <c r="H74" s="345"/>
    </row>
    <row r="75" spans="2:8" ht="12.75">
      <c r="B75" s="356" t="s">
        <v>580</v>
      </c>
      <c r="C75" s="356" t="s">
        <v>409</v>
      </c>
      <c r="D75" s="342" t="s">
        <v>206</v>
      </c>
      <c r="E75" s="342" t="s">
        <v>444</v>
      </c>
      <c r="F75" s="345">
        <f>Summary_Output!$F93</f>
        <v>0</v>
      </c>
      <c r="G75" s="345"/>
      <c r="H75" s="345"/>
    </row>
    <row r="76" spans="2:8" ht="12.75">
      <c r="B76" s="356" t="s">
        <v>581</v>
      </c>
      <c r="C76" s="356" t="s">
        <v>417</v>
      </c>
      <c r="D76" s="342" t="s">
        <v>206</v>
      </c>
      <c r="E76" s="342" t="s">
        <v>444</v>
      </c>
      <c r="F76" s="345"/>
      <c r="G76" s="345">
        <f>Summary_Output!$F94</f>
        <v>0</v>
      </c>
      <c r="H76" s="345"/>
    </row>
    <row r="77" spans="2:8" ht="12.75">
      <c r="B77" s="356" t="s">
        <v>582</v>
      </c>
      <c r="C77" s="356" t="s">
        <v>418</v>
      </c>
      <c r="D77" s="342" t="s">
        <v>206</v>
      </c>
      <c r="E77" s="342" t="s">
        <v>444</v>
      </c>
      <c r="F77" s="345"/>
      <c r="G77" s="345">
        <f>Summary_Output!$F95</f>
        <v>0</v>
      </c>
      <c r="H77" s="345"/>
    </row>
    <row r="78" spans="2:8" ht="12.75">
      <c r="B78" s="356" t="s">
        <v>697</v>
      </c>
      <c r="C78" s="356" t="s">
        <v>408</v>
      </c>
      <c r="D78" s="342" t="s">
        <v>206</v>
      </c>
      <c r="E78" s="342" t="s">
        <v>444</v>
      </c>
      <c r="F78" s="345">
        <f>Summary_Output!$F99</f>
        <v>0</v>
      </c>
      <c r="G78" s="345"/>
      <c r="H78" s="345"/>
    </row>
    <row r="79" spans="2:8" ht="12.75">
      <c r="B79" s="356" t="s">
        <v>694</v>
      </c>
      <c r="C79" s="356" t="s">
        <v>405</v>
      </c>
      <c r="D79" s="342" t="s">
        <v>206</v>
      </c>
      <c r="E79" s="342" t="s">
        <v>444</v>
      </c>
      <c r="F79" s="345">
        <f>Summary_Output!$F101</f>
        <v>0</v>
      </c>
      <c r="G79" s="345"/>
      <c r="H79" s="345"/>
    </row>
    <row r="80" spans="2:8" ht="12.75">
      <c r="B80" s="356" t="s">
        <v>696</v>
      </c>
      <c r="C80" s="356" t="s">
        <v>406</v>
      </c>
      <c r="D80" s="342" t="s">
        <v>206</v>
      </c>
      <c r="E80" s="342" t="s">
        <v>444</v>
      </c>
      <c r="F80" s="345">
        <f>Summary_Output!$F103</f>
        <v>0</v>
      </c>
      <c r="G80" s="345"/>
      <c r="H80" s="345"/>
    </row>
    <row r="81" spans="2:8" ht="14.25">
      <c r="B81" s="342" t="s">
        <v>466</v>
      </c>
      <c r="C81" s="342" t="s">
        <v>660</v>
      </c>
      <c r="D81" s="342" t="s">
        <v>463</v>
      </c>
      <c r="E81" s="342" t="s">
        <v>444</v>
      </c>
      <c r="F81" s="343">
        <f ca="1">NOW()</f>
        <v>43662.60131574074</v>
      </c>
      <c r="G81" s="343">
        <f ca="1">NOW()</f>
        <v>43662.60131574074</v>
      </c>
      <c r="H81" s="343">
        <f ca="1">NOW()</f>
        <v>43662.60131574074</v>
      </c>
    </row>
    <row r="82" spans="2:8" ht="12.75">
      <c r="B82" s="342" t="s">
        <v>467</v>
      </c>
      <c r="C82" s="342" t="s">
        <v>661</v>
      </c>
      <c r="D82" s="342" t="s">
        <v>463</v>
      </c>
      <c r="E82" s="342" t="s">
        <v>444</v>
      </c>
      <c r="F82" s="344" t="e">
        <f ca="1">MID(CELL("filename"),SEARCH("[",CELL("filename"))+1,SEARCH("]",CELL("filename"))-SEARCH("[",CELL("filename"))-1)</f>
        <v>#N/A</v>
      </c>
      <c r="G82" s="344" t="e">
        <f ca="1">MID(CELL("filename"),SEARCH("[",CELL("filename"))+1,SEARCH("]",CELL("filename"))-SEARCH("[",CELL("filename"))-1)</f>
        <v>#N/A</v>
      </c>
      <c r="H82" s="344" t="e">
        <f ca="1">MID(CELL("filename"),SEARCH("[",CELL("filename"))+1,SEARCH("]",CELL("filename"))-SEARCH("[",CELL("filename"))-1)</f>
        <v>#N/A</v>
      </c>
    </row>
  </sheetData>
  <sheetProtection sort="0"/>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sheetPr codeName="Sheet2">
    <tabColor rgb="FF002664"/>
    <pageSetUpPr fitToPage="1"/>
  </sheetPr>
  <dimension ref="A1:AJ20"/>
  <sheetViews>
    <sheetView showGridLines="0" zoomScale="80" zoomScaleNormal="80" zoomScalePageLayoutView="0" workbookViewId="0" topLeftCell="A1">
      <selection activeCell="A1" sqref="A1"/>
    </sheetView>
  </sheetViews>
  <sheetFormatPr defaultColWidth="0" defaultRowHeight="12.75" customHeight="1" zeroHeight="1"/>
  <cols>
    <col min="1" max="2" width="1.28515625" style="228" customWidth="1"/>
    <col min="3" max="3" width="32.7109375" style="229" customWidth="1"/>
    <col min="4" max="4" width="15.7109375" style="228" customWidth="1"/>
    <col min="5" max="5" width="35.7109375" style="228" customWidth="1"/>
    <col min="6" max="7" width="50.7109375" style="228" customWidth="1"/>
    <col min="8" max="9" width="1.28515625" style="228" customWidth="1"/>
    <col min="10" max="16384" width="9.140625" style="228" hidden="1" customWidth="1"/>
  </cols>
  <sheetData>
    <row r="1" spans="1:9" s="209" customFormat="1" ht="30.75" thickBot="1">
      <c r="A1" s="207" t="str">
        <f ca="1">RIGHT(CELL("filename",$A$1),LEN(CELL("filename",$A$1))-SEARCH("]",CELL("filename",$A$1)))</f>
        <v>Cover</v>
      </c>
      <c r="B1" s="207"/>
      <c r="C1" s="208"/>
      <c r="D1" s="207"/>
      <c r="E1" s="207"/>
      <c r="F1" s="207"/>
      <c r="G1" s="207"/>
      <c r="H1" s="207"/>
      <c r="I1" s="207"/>
    </row>
    <row r="2" spans="1:9" s="213" customFormat="1" ht="4.5" customHeight="1">
      <c r="A2" s="210"/>
      <c r="B2" s="210"/>
      <c r="C2" s="211"/>
      <c r="D2" s="210"/>
      <c r="E2" s="210"/>
      <c r="F2" s="210"/>
      <c r="G2" s="212"/>
      <c r="H2" s="212"/>
      <c r="I2" s="212"/>
    </row>
    <row r="3" spans="1:6" s="216" customFormat="1" ht="18" customHeight="1">
      <c r="A3" s="214"/>
      <c r="B3" s="214"/>
      <c r="C3" s="208" t="s">
        <v>0</v>
      </c>
      <c r="D3" s="215" t="s">
        <v>1</v>
      </c>
      <c r="E3" s="214"/>
      <c r="F3" s="214"/>
    </row>
    <row r="4" spans="1:6" s="213" customFormat="1" ht="18" customHeight="1">
      <c r="A4" s="215"/>
      <c r="B4" s="215"/>
      <c r="C4" s="208" t="s">
        <v>2</v>
      </c>
      <c r="D4" s="215" t="s">
        <v>3</v>
      </c>
      <c r="E4" s="215"/>
      <c r="F4" s="215"/>
    </row>
    <row r="5" spans="1:6" s="213" customFormat="1" ht="18" customHeight="1">
      <c r="A5" s="215"/>
      <c r="B5" s="215"/>
      <c r="C5" s="208" t="s">
        <v>4</v>
      </c>
      <c r="D5" s="215" t="str">
        <f>"PR19 RCV adjustments feeder model "&amp;D4&amp;".xlsm"</f>
        <v>PR19 RCV adjustments feeder model 01s - July 2018 update.xlsm</v>
      </c>
      <c r="E5" s="215"/>
      <c r="F5" s="215"/>
    </row>
    <row r="6" spans="1:6" s="213" customFormat="1" ht="18" customHeight="1">
      <c r="A6" s="215"/>
      <c r="B6" s="215"/>
      <c r="C6" s="208" t="s">
        <v>5</v>
      </c>
      <c r="D6" s="312">
        <v>43285</v>
      </c>
      <c r="E6" s="215"/>
      <c r="F6" s="215"/>
    </row>
    <row r="7" spans="1:6" s="213" customFormat="1" ht="18" customHeight="1">
      <c r="A7" s="215"/>
      <c r="B7" s="215"/>
      <c r="C7" s="208" t="s">
        <v>6</v>
      </c>
      <c r="D7" s="215" t="s">
        <v>7</v>
      </c>
      <c r="E7" s="215"/>
      <c r="F7" s="215"/>
    </row>
    <row r="8" spans="1:6" s="213" customFormat="1" ht="18" customHeight="1">
      <c r="A8" s="215"/>
      <c r="B8" s="215"/>
      <c r="C8" s="208" t="s">
        <v>8</v>
      </c>
      <c r="D8" s="600" t="s">
        <v>9</v>
      </c>
      <c r="E8" s="600"/>
      <c r="F8" s="215"/>
    </row>
    <row r="9" spans="1:9" s="213" customFormat="1" ht="4.5" customHeight="1">
      <c r="A9" s="217"/>
      <c r="B9" s="217"/>
      <c r="C9" s="218"/>
      <c r="D9" s="217"/>
      <c r="E9" s="217"/>
      <c r="F9" s="217"/>
      <c r="G9" s="217"/>
      <c r="H9" s="217"/>
      <c r="I9" s="217"/>
    </row>
    <row r="10" spans="1:9" s="221" customFormat="1" ht="4.5" customHeight="1">
      <c r="A10" s="219"/>
      <c r="B10" s="219"/>
      <c r="C10" s="220"/>
      <c r="D10" s="219"/>
      <c r="E10" s="219"/>
      <c r="F10" s="219"/>
      <c r="G10" s="219"/>
      <c r="H10" s="219"/>
      <c r="I10" s="219"/>
    </row>
    <row r="11" spans="1:9" s="221" customFormat="1" ht="18" customHeight="1">
      <c r="A11" s="219"/>
      <c r="B11" s="219"/>
      <c r="C11" s="220" t="s">
        <v>10</v>
      </c>
      <c r="D11" s="222" t="s">
        <v>681</v>
      </c>
      <c r="E11" s="222"/>
      <c r="F11" s="222"/>
      <c r="G11" s="222"/>
      <c r="H11" s="222"/>
      <c r="I11" s="222"/>
    </row>
    <row r="12" spans="1:9" s="221" customFormat="1" ht="18" customHeight="1">
      <c r="A12" s="219"/>
      <c r="B12" s="219"/>
      <c r="C12" s="220"/>
      <c r="D12" s="222" t="s">
        <v>682</v>
      </c>
      <c r="E12" s="222"/>
      <c r="F12" s="222"/>
      <c r="G12" s="222"/>
      <c r="H12" s="222"/>
      <c r="I12" s="222"/>
    </row>
    <row r="13" spans="1:9" s="221" customFormat="1" ht="12.75" customHeight="1">
      <c r="A13" s="219"/>
      <c r="B13" s="219"/>
      <c r="C13" s="220"/>
      <c r="D13" s="222"/>
      <c r="E13" s="222"/>
      <c r="F13" s="222"/>
      <c r="G13" s="222"/>
      <c r="H13" s="222"/>
      <c r="I13" s="222"/>
    </row>
    <row r="14" spans="1:9" s="221" customFormat="1" ht="18" customHeight="1">
      <c r="A14" s="219"/>
      <c r="B14" s="219"/>
      <c r="C14" s="220" t="s">
        <v>11</v>
      </c>
      <c r="D14" s="222" t="s">
        <v>12</v>
      </c>
      <c r="E14" s="222"/>
      <c r="F14" s="222"/>
      <c r="G14" s="222"/>
      <c r="H14" s="222"/>
      <c r="I14" s="222"/>
    </row>
    <row r="15" spans="1:9" s="221" customFormat="1" ht="4.5" customHeight="1">
      <c r="A15" s="219"/>
      <c r="B15" s="219"/>
      <c r="C15" s="220"/>
      <c r="D15" s="222"/>
      <c r="E15" s="222"/>
      <c r="F15" s="222"/>
      <c r="G15" s="222"/>
      <c r="H15" s="222"/>
      <c r="I15" s="222"/>
    </row>
    <row r="16" spans="1:36" s="221" customFormat="1" ht="15.75" customHeight="1">
      <c r="A16" s="219"/>
      <c r="B16" s="219"/>
      <c r="C16" s="220" t="s">
        <v>13</v>
      </c>
      <c r="D16" s="222" t="s">
        <v>14</v>
      </c>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row>
    <row r="17" spans="1:9" s="221" customFormat="1" ht="18" customHeight="1">
      <c r="A17" s="219"/>
      <c r="B17" s="219"/>
      <c r="C17" s="220"/>
      <c r="D17" s="223" t="s">
        <v>9</v>
      </c>
      <c r="E17" s="222"/>
      <c r="F17" s="222"/>
      <c r="G17" s="222"/>
      <c r="H17" s="222"/>
      <c r="I17" s="222"/>
    </row>
    <row r="18" spans="1:9" s="221" customFormat="1" ht="12.75" customHeight="1">
      <c r="A18" s="219"/>
      <c r="B18" s="219"/>
      <c r="C18" s="220"/>
      <c r="D18" s="222"/>
      <c r="E18" s="222"/>
      <c r="F18" s="222"/>
      <c r="G18" s="222"/>
      <c r="H18" s="222"/>
      <c r="I18" s="222"/>
    </row>
    <row r="19" spans="1:9" s="221" customFormat="1" ht="4.5" customHeight="1">
      <c r="A19" s="219"/>
      <c r="B19" s="219"/>
      <c r="C19" s="220"/>
      <c r="D19" s="219"/>
      <c r="E19" s="219"/>
      <c r="F19" s="219"/>
      <c r="G19" s="219"/>
      <c r="H19" s="219"/>
      <c r="I19" s="219"/>
    </row>
    <row r="20" spans="1:9" s="227" customFormat="1" ht="12.75" customHeight="1">
      <c r="A20" s="224" t="s">
        <v>15</v>
      </c>
      <c r="B20" s="225"/>
      <c r="C20" s="226"/>
      <c r="D20" s="225"/>
      <c r="E20" s="225"/>
      <c r="F20" s="225"/>
      <c r="G20" s="225"/>
      <c r="H20" s="225"/>
      <c r="I20" s="225"/>
    </row>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sheetData>
  <sheetProtection/>
  <mergeCells count="1">
    <mergeCell ref="D8:E8"/>
  </mergeCells>
  <hyperlinks>
    <hyperlink ref="D17" r:id="rId1" display="PR19@ofwat.gsi.gov.uk"/>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70" r:id="rId3"/>
  <headerFooter>
    <oddHeader>&amp;L&amp;F&amp;CSheet: &amp;A&amp;ROFFICIAL</oddHeader>
    <oddFooter>&amp;LPrinted on &amp;D at &amp;T&amp;CPage &amp;P of &amp;N&amp;ROfwat</oddFooter>
  </headerFooter>
  <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13"/>
  <sheetViews>
    <sheetView showGridLines="0" zoomScale="80" zoomScaleNormal="8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cols>
    <col min="1" max="2" width="9.140625" style="233" customWidth="1"/>
    <col min="3" max="4" width="50.7109375" style="242" customWidth="1"/>
    <col min="5" max="5" width="15.8515625" style="242" bestFit="1" customWidth="1"/>
    <col min="6" max="6" width="14.7109375" style="242" customWidth="1"/>
    <col min="7" max="7" width="0" style="233" hidden="1" customWidth="1"/>
    <col min="8" max="16384" width="9.140625" style="233" hidden="1" customWidth="1"/>
  </cols>
  <sheetData>
    <row r="1" s="230" customFormat="1" ht="33.75">
      <c r="A1" s="230" t="s">
        <v>16</v>
      </c>
    </row>
    <row r="2" spans="1:6" ht="12.75">
      <c r="A2" s="231"/>
      <c r="B2" s="231"/>
      <c r="C2" s="232"/>
      <c r="D2" s="232"/>
      <c r="E2" s="232"/>
      <c r="F2" s="232"/>
    </row>
    <row r="3" spans="1:6" ht="15.75">
      <c r="A3" s="231"/>
      <c r="B3" s="234" t="s">
        <v>17</v>
      </c>
      <c r="C3" s="234" t="s">
        <v>18</v>
      </c>
      <c r="D3" s="234" t="s">
        <v>19</v>
      </c>
      <c r="E3" s="234" t="s">
        <v>20</v>
      </c>
      <c r="F3" s="234" t="s">
        <v>21</v>
      </c>
    </row>
    <row r="4" spans="1:6" ht="12.75">
      <c r="A4" s="231"/>
      <c r="B4" s="231"/>
      <c r="C4" s="232"/>
      <c r="D4" s="290"/>
      <c r="E4" s="232"/>
      <c r="F4" s="232"/>
    </row>
    <row r="5" spans="1:6" ht="51">
      <c r="A5" s="291">
        <v>43070</v>
      </c>
      <c r="B5" s="235">
        <v>1</v>
      </c>
      <c r="C5" s="236" t="s">
        <v>22</v>
      </c>
      <c r="D5" s="236" t="s">
        <v>23</v>
      </c>
      <c r="E5" s="236" t="s">
        <v>24</v>
      </c>
      <c r="F5" s="237">
        <v>102</v>
      </c>
    </row>
    <row r="6" spans="1:6" ht="25.5">
      <c r="A6" s="291">
        <v>43070</v>
      </c>
      <c r="B6" s="238">
        <v>2</v>
      </c>
      <c r="C6" s="239" t="s">
        <v>25</v>
      </c>
      <c r="D6" s="287" t="s">
        <v>26</v>
      </c>
      <c r="E6" s="239" t="s">
        <v>27</v>
      </c>
      <c r="F6" s="240"/>
    </row>
    <row r="7" spans="1:6" ht="25.5">
      <c r="A7" s="291">
        <v>43070</v>
      </c>
      <c r="B7" s="238">
        <v>3</v>
      </c>
      <c r="C7" s="239" t="s">
        <v>28</v>
      </c>
      <c r="D7" s="239" t="s">
        <v>29</v>
      </c>
      <c r="E7" s="239" t="s">
        <v>24</v>
      </c>
      <c r="F7" s="241">
        <v>105</v>
      </c>
    </row>
    <row r="8" spans="1:6" ht="25.5">
      <c r="A8" s="291">
        <v>43070</v>
      </c>
      <c r="B8" s="238">
        <v>4</v>
      </c>
      <c r="C8" s="239" t="s">
        <v>28</v>
      </c>
      <c r="D8" s="239" t="s">
        <v>30</v>
      </c>
      <c r="E8" s="239" t="s">
        <v>27</v>
      </c>
      <c r="F8" s="241"/>
    </row>
    <row r="9" spans="1:6" ht="38.25">
      <c r="A9" s="291">
        <v>43252</v>
      </c>
      <c r="B9" s="295">
        <v>5</v>
      </c>
      <c r="C9" s="296" t="s">
        <v>31</v>
      </c>
      <c r="D9" s="296" t="s">
        <v>32</v>
      </c>
      <c r="E9" s="296" t="s">
        <v>33</v>
      </c>
      <c r="F9" s="297"/>
    </row>
    <row r="10" spans="1:6" ht="84" customHeight="1">
      <c r="A10" s="291">
        <v>43252</v>
      </c>
      <c r="B10" s="262">
        <v>6</v>
      </c>
      <c r="C10" s="263" t="s">
        <v>34</v>
      </c>
      <c r="D10" s="263" t="s">
        <v>35</v>
      </c>
      <c r="E10" s="263" t="s">
        <v>36</v>
      </c>
      <c r="F10" s="264"/>
    </row>
    <row r="11" spans="1:6" ht="38.25">
      <c r="A11" s="291">
        <v>43252</v>
      </c>
      <c r="B11" s="316">
        <v>7</v>
      </c>
      <c r="C11" s="317" t="s">
        <v>37</v>
      </c>
      <c r="D11" s="317" t="s">
        <v>38</v>
      </c>
      <c r="E11" s="317" t="s">
        <v>33</v>
      </c>
      <c r="F11" s="318"/>
    </row>
    <row r="12" spans="1:6" ht="12.75">
      <c r="A12" s="315">
        <v>43252</v>
      </c>
      <c r="B12" s="238">
        <v>8</v>
      </c>
      <c r="C12" s="239" t="s">
        <v>39</v>
      </c>
      <c r="D12" s="239" t="s">
        <v>40</v>
      </c>
      <c r="E12" s="239" t="s">
        <v>41</v>
      </c>
      <c r="F12" s="240"/>
    </row>
    <row r="13" spans="1:6" ht="57.75" customHeight="1">
      <c r="A13" s="315">
        <v>43282</v>
      </c>
      <c r="B13" s="327">
        <v>9</v>
      </c>
      <c r="C13" s="328" t="s">
        <v>42</v>
      </c>
      <c r="D13" s="328" t="s">
        <v>43</v>
      </c>
      <c r="E13" s="328" t="s">
        <v>33</v>
      </c>
      <c r="F13" s="329"/>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scale="89"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AP121"/>
  <sheetViews>
    <sheetView showGridLines="0" defaultGridColor="0" zoomScale="80" zoomScaleNormal="80" zoomScalePageLayoutView="0" colorId="22" workbookViewId="0" topLeftCell="A1">
      <pane ySplit="1" topLeftCell="A2" activePane="bottomLeft" state="frozen"/>
      <selection pane="topLeft" activeCell="A1" sqref="A1"/>
      <selection pane="bottomLeft" activeCell="A1" sqref="A1"/>
    </sheetView>
  </sheetViews>
  <sheetFormatPr defaultColWidth="0" defaultRowHeight="12.75"/>
  <cols>
    <col min="1" max="1" width="1.28515625" style="35" customWidth="1"/>
    <col min="2" max="4" width="1.28515625" style="4" customWidth="1"/>
    <col min="5" max="5" width="2.7109375" style="4" customWidth="1"/>
    <col min="6" max="6" width="4.7109375" style="4" customWidth="1"/>
    <col min="7" max="7" width="2.7109375" style="4" customWidth="1"/>
    <col min="8" max="8" width="30.7109375" style="49" customWidth="1"/>
    <col min="9" max="9" width="2.7109375" style="4" customWidth="1"/>
    <col min="10" max="10" width="4.7109375" style="4" customWidth="1"/>
    <col min="11" max="11" width="2.7109375" style="4" customWidth="1"/>
    <col min="12" max="12" width="30.7109375" style="4" customWidth="1"/>
    <col min="13" max="13" width="2.7109375" style="4" customWidth="1"/>
    <col min="14" max="14" width="4.7109375" style="4" customWidth="1"/>
    <col min="15" max="15" width="2.7109375" style="4" customWidth="1"/>
    <col min="16" max="16" width="30.7109375" style="4" customWidth="1"/>
    <col min="17" max="19" width="2.7109375" style="4" customWidth="1"/>
    <col min="20" max="20" width="4.7109375" style="4" customWidth="1"/>
    <col min="21" max="21" width="2.7109375" style="4" customWidth="1"/>
    <col min="22" max="22" width="30.7109375" style="4" customWidth="1"/>
    <col min="23" max="23" width="2.7109375" style="4" customWidth="1"/>
    <col min="24" max="24" width="4.7109375" style="4" customWidth="1"/>
    <col min="25" max="25" width="2.7109375" style="4" customWidth="1"/>
    <col min="26" max="26" width="4.7109375" style="4" customWidth="1"/>
    <col min="27" max="27" width="5.7109375" style="4" customWidth="1"/>
    <col min="28" max="29" width="2.7109375" style="4" customWidth="1"/>
    <col min="30" max="30" width="30.7109375" style="4" customWidth="1"/>
    <col min="31" max="31" width="2.7109375" style="4" customWidth="1"/>
    <col min="32" max="32" width="5.7109375" style="4" customWidth="1"/>
    <col min="33" max="33" width="2.7109375" style="4" customWidth="1"/>
    <col min="34" max="34" width="30.7109375" style="4" customWidth="1"/>
    <col min="35" max="37" width="2.7109375" style="4" customWidth="1"/>
    <col min="38" max="41" width="1.28515625" style="4" customWidth="1"/>
    <col min="42" max="42" width="2.7109375" style="4" customWidth="1"/>
    <col min="43" max="45" width="0" style="0" hidden="1" customWidth="1"/>
    <col min="46" max="16384" width="9.140625" style="0" hidden="1" customWidth="1"/>
  </cols>
  <sheetData>
    <row r="1" spans="1:8" ht="26.25">
      <c r="A1" s="41" t="str">
        <f ca="1">RIGHT(CELL("filename",$A$1),LEN(CELL("filename",$A$1))-SEARCH("]",CELL("filename",$A$1)))</f>
        <v>Map &amp; Key</v>
      </c>
      <c r="B1" s="41"/>
      <c r="C1" s="41"/>
      <c r="D1" s="41"/>
      <c r="E1" s="41"/>
      <c r="F1" s="41"/>
      <c r="G1" s="41"/>
      <c r="H1" s="42"/>
    </row>
    <row r="3" spans="1:42" ht="12.75" customHeight="1">
      <c r="A3" s="43" t="s">
        <v>44</v>
      </c>
      <c r="B3" s="43"/>
      <c r="C3" s="44"/>
      <c r="D3" s="45"/>
      <c r="E3" s="43"/>
      <c r="F3" s="43"/>
      <c r="G3" s="43"/>
      <c r="H3" s="43"/>
      <c r="I3" s="43"/>
      <c r="J3" s="43"/>
      <c r="K3" s="43"/>
      <c r="L3" s="43"/>
      <c r="M3" s="43"/>
      <c r="N3" s="43"/>
      <c r="O3" s="43"/>
      <c r="P3" s="43"/>
      <c r="Q3" s="43"/>
      <c r="R3" s="43"/>
      <c r="S3" s="43"/>
      <c r="T3" s="43"/>
      <c r="U3" s="43"/>
      <c r="V3" s="44"/>
      <c r="W3" s="43"/>
      <c r="X3" s="43"/>
      <c r="Y3" s="43"/>
      <c r="Z3" s="44"/>
      <c r="AA3" s="44"/>
      <c r="AB3" s="44"/>
      <c r="AC3" s="44"/>
      <c r="AD3" s="44"/>
      <c r="AE3" s="44"/>
      <c r="AF3" s="44"/>
      <c r="AG3" s="44"/>
      <c r="AH3" s="44"/>
      <c r="AI3" s="44"/>
      <c r="AJ3" s="44"/>
      <c r="AK3" s="44"/>
      <c r="AL3" s="44"/>
      <c r="AM3" s="44"/>
      <c r="AN3" s="44"/>
      <c r="AO3" s="44"/>
      <c r="AP3" s="44"/>
    </row>
    <row r="4" ht="12.75">
      <c r="D4" s="288"/>
    </row>
    <row r="5" spans="1:42" ht="15.75">
      <c r="A5" s="46"/>
      <c r="B5" s="47"/>
      <c r="C5" s="47"/>
      <c r="D5" s="47"/>
      <c r="E5" s="47"/>
      <c r="F5" s="105" t="s">
        <v>45</v>
      </c>
      <c r="G5" s="106"/>
      <c r="H5" s="106"/>
      <c r="I5" s="106"/>
      <c r="J5" s="106"/>
      <c r="K5" s="107"/>
      <c r="L5" s="105"/>
      <c r="M5" s="107"/>
      <c r="N5" s="107"/>
      <c r="O5" s="106"/>
      <c r="P5" s="106"/>
      <c r="Q5" s="106"/>
      <c r="R5" s="108"/>
      <c r="S5" s="47"/>
      <c r="T5" s="47"/>
      <c r="U5" s="47"/>
      <c r="V5" s="47"/>
      <c r="W5" s="47"/>
      <c r="X5" s="47"/>
      <c r="Y5" s="47"/>
      <c r="Z5" s="47"/>
      <c r="AA5" s="47"/>
      <c r="AB5" s="47"/>
      <c r="AC5" s="47"/>
      <c r="AD5" s="47"/>
      <c r="AE5" s="47"/>
      <c r="AF5" s="47"/>
      <c r="AG5" s="47"/>
      <c r="AH5" s="47"/>
      <c r="AI5" s="47"/>
      <c r="AJ5" s="47"/>
      <c r="AK5" s="47"/>
      <c r="AL5" s="47"/>
      <c r="AM5" s="47"/>
      <c r="AN5" s="47"/>
      <c r="AO5" s="47"/>
      <c r="AP5" s="47"/>
    </row>
    <row r="6" spans="4:18" ht="13.5" thickBot="1">
      <c r="D6" s="288"/>
      <c r="F6" s="48"/>
      <c r="H6" s="4"/>
      <c r="L6" s="49"/>
      <c r="R6" s="50"/>
    </row>
    <row r="7" spans="6:18" ht="12.75">
      <c r="F7" s="48"/>
      <c r="H7" s="109"/>
      <c r="L7" s="49"/>
      <c r="P7" s="51"/>
      <c r="R7" s="50"/>
    </row>
    <row r="8" spans="6:18" ht="15" customHeight="1">
      <c r="F8" s="48"/>
      <c r="H8" s="110" t="s">
        <v>46</v>
      </c>
      <c r="L8" s="49"/>
      <c r="P8" s="52" t="s">
        <v>47</v>
      </c>
      <c r="R8" s="50"/>
    </row>
    <row r="9" spans="6:18" ht="13.5" thickBot="1">
      <c r="F9" s="48"/>
      <c r="H9" s="111"/>
      <c r="L9" s="49"/>
      <c r="P9" s="53"/>
      <c r="R9" s="50"/>
    </row>
    <row r="10" spans="6:18" ht="12.75">
      <c r="F10" s="48"/>
      <c r="H10" s="4"/>
      <c r="L10" s="49"/>
      <c r="R10" s="50"/>
    </row>
    <row r="11" spans="6:18" ht="12.75">
      <c r="F11" s="48"/>
      <c r="H11" s="4"/>
      <c r="L11" s="49"/>
      <c r="R11" s="50"/>
    </row>
    <row r="12" spans="6:18" ht="12.75">
      <c r="F12" s="48"/>
      <c r="H12" s="4"/>
      <c r="L12" s="49"/>
      <c r="R12" s="50"/>
    </row>
    <row r="13" spans="1:42" ht="15.75">
      <c r="A13" s="46"/>
      <c r="B13" s="47"/>
      <c r="C13" s="47"/>
      <c r="D13" s="47"/>
      <c r="E13" s="47"/>
      <c r="F13" s="54" t="s">
        <v>48</v>
      </c>
      <c r="G13" s="55"/>
      <c r="H13" s="55"/>
      <c r="I13" s="55"/>
      <c r="J13" s="55"/>
      <c r="K13" s="55"/>
      <c r="L13" s="54"/>
      <c r="M13" s="55"/>
      <c r="N13" s="55"/>
      <c r="O13" s="55"/>
      <c r="P13" s="55"/>
      <c r="Q13" s="55"/>
      <c r="R13" s="56"/>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row>
    <row r="14" spans="6:18" ht="12.75">
      <c r="F14" s="48"/>
      <c r="H14" s="4"/>
      <c r="L14" s="49"/>
      <c r="R14" s="50"/>
    </row>
    <row r="15" spans="6:18" ht="12.75">
      <c r="F15" s="48"/>
      <c r="H15" s="4"/>
      <c r="L15" s="49"/>
      <c r="R15" s="50"/>
    </row>
    <row r="16" spans="6:18" ht="12.75">
      <c r="F16" s="48"/>
      <c r="H16" s="4"/>
      <c r="L16" s="49"/>
      <c r="R16" s="50"/>
    </row>
    <row r="17" spans="6:18" ht="13.5" thickBot="1">
      <c r="F17" s="48"/>
      <c r="H17" s="4"/>
      <c r="L17" s="49"/>
      <c r="R17" s="50"/>
    </row>
    <row r="18" spans="6:18" ht="12.75">
      <c r="F18" s="48"/>
      <c r="H18" s="112"/>
      <c r="L18" s="112"/>
      <c r="P18" s="112"/>
      <c r="R18" s="50"/>
    </row>
    <row r="19" spans="6:18" ht="15" customHeight="1">
      <c r="F19" s="48"/>
      <c r="H19" s="113" t="s">
        <v>49</v>
      </c>
      <c r="L19" s="113" t="s">
        <v>50</v>
      </c>
      <c r="P19" s="113" t="s">
        <v>51</v>
      </c>
      <c r="R19" s="50"/>
    </row>
    <row r="20" spans="6:18" ht="12.75">
      <c r="F20" s="48"/>
      <c r="H20" s="114"/>
      <c r="L20" s="114"/>
      <c r="P20" s="114"/>
      <c r="R20" s="50"/>
    </row>
    <row r="21" spans="6:18" ht="12.75">
      <c r="F21" s="48"/>
      <c r="H21" s="4"/>
      <c r="L21" s="49"/>
      <c r="R21" s="50"/>
    </row>
    <row r="22" spans="6:18" ht="12.75">
      <c r="F22" s="48"/>
      <c r="H22" s="4"/>
      <c r="L22" s="49"/>
      <c r="R22" s="50"/>
    </row>
    <row r="23" spans="6:18" ht="12.75">
      <c r="F23" s="48"/>
      <c r="H23" s="4"/>
      <c r="L23" s="49"/>
      <c r="R23" s="50"/>
    </row>
    <row r="24" spans="6:18" ht="12.75">
      <c r="F24" s="57"/>
      <c r="G24" s="58"/>
      <c r="H24" s="58"/>
      <c r="I24" s="58"/>
      <c r="J24" s="58"/>
      <c r="K24" s="58"/>
      <c r="L24" s="59"/>
      <c r="M24" s="58"/>
      <c r="N24" s="58"/>
      <c r="O24" s="58"/>
      <c r="P24" s="58"/>
      <c r="Q24" s="58"/>
      <c r="R24" s="60"/>
    </row>
    <row r="25" spans="6:12" ht="15">
      <c r="F25" s="61" t="s">
        <v>52</v>
      </c>
      <c r="H25" s="4"/>
      <c r="L25" s="49"/>
    </row>
    <row r="26" spans="8:12" ht="12.75">
      <c r="H26" s="4"/>
      <c r="L26" s="49"/>
    </row>
    <row r="27" spans="8:12" ht="12.75">
      <c r="H27" s="4"/>
      <c r="L27" s="49"/>
    </row>
    <row r="28" spans="1:42" ht="12.75" customHeight="1">
      <c r="A28" s="43" t="s">
        <v>53</v>
      </c>
      <c r="B28" s="43"/>
      <c r="C28" s="44"/>
      <c r="D28" s="45"/>
      <c r="E28" s="43"/>
      <c r="F28" s="43"/>
      <c r="G28" s="43"/>
      <c r="H28" s="43"/>
      <c r="I28" s="43"/>
      <c r="J28" s="43"/>
      <c r="K28" s="43"/>
      <c r="L28" s="43"/>
      <c r="M28" s="43"/>
      <c r="N28" s="43"/>
      <c r="O28" s="43"/>
      <c r="P28" s="43"/>
      <c r="Q28" s="43"/>
      <c r="R28" s="43"/>
      <c r="S28" s="43"/>
      <c r="T28" s="43"/>
      <c r="U28" s="43"/>
      <c r="V28" s="44"/>
      <c r="W28" s="43"/>
      <c r="X28" s="43"/>
      <c r="Y28" s="43"/>
      <c r="Z28" s="44"/>
      <c r="AA28" s="44"/>
      <c r="AB28" s="44"/>
      <c r="AC28" s="44"/>
      <c r="AD28" s="44"/>
      <c r="AE28" s="44"/>
      <c r="AF28" s="44"/>
      <c r="AG28" s="44"/>
      <c r="AH28" s="44"/>
      <c r="AI28" s="44"/>
      <c r="AJ28" s="44"/>
      <c r="AK28" s="44"/>
      <c r="AL28" s="44"/>
      <c r="AM28" s="44"/>
      <c r="AN28" s="44"/>
      <c r="AO28" s="44"/>
      <c r="AP28" s="44"/>
    </row>
    <row r="29" spans="8:16" ht="12.75">
      <c r="H29" s="4"/>
      <c r="L29" s="49"/>
      <c r="P29" s="49"/>
    </row>
    <row r="30" spans="6:36" ht="12.75" customHeight="1">
      <c r="F30" s="115" t="s">
        <v>53</v>
      </c>
      <c r="G30" s="116"/>
      <c r="H30" s="116"/>
      <c r="I30" s="116"/>
      <c r="J30" s="116"/>
      <c r="K30" s="116"/>
      <c r="L30" s="115"/>
      <c r="M30" s="116"/>
      <c r="N30" s="116"/>
      <c r="O30" s="116"/>
      <c r="P30" s="115"/>
      <c r="Q30" s="116"/>
      <c r="R30" s="116"/>
      <c r="S30" s="116"/>
      <c r="T30" s="116"/>
      <c r="U30" s="116"/>
      <c r="V30" s="116"/>
      <c r="W30" s="117"/>
      <c r="X30" s="117"/>
      <c r="Y30" s="146"/>
      <c r="Z30" s="146"/>
      <c r="AB30" s="145"/>
      <c r="AC30" s="146"/>
      <c r="AD30" s="146"/>
      <c r="AE30" s="146"/>
      <c r="AF30" s="146"/>
      <c r="AG30" s="146"/>
      <c r="AH30" s="146"/>
      <c r="AI30" s="146"/>
      <c r="AJ30" s="146"/>
    </row>
    <row r="31" spans="8:16" ht="12.75">
      <c r="H31" s="4"/>
      <c r="L31" s="49"/>
      <c r="P31" s="49"/>
    </row>
    <row r="32" spans="8:34" ht="12.75">
      <c r="H32" s="40" t="s">
        <v>54</v>
      </c>
      <c r="I32" s="40"/>
      <c r="J32" s="40"/>
      <c r="K32" s="40"/>
      <c r="L32" s="40" t="s">
        <v>55</v>
      </c>
      <c r="M32" s="40"/>
      <c r="N32" s="40"/>
      <c r="V32" s="40" t="s">
        <v>56</v>
      </c>
      <c r="AB32" s="40"/>
      <c r="AD32" s="40"/>
      <c r="AH32" s="40"/>
    </row>
    <row r="33" spans="6:24" ht="12.75">
      <c r="F33" s="62"/>
      <c r="G33" s="63"/>
      <c r="H33" s="63"/>
      <c r="I33" s="63"/>
      <c r="J33" s="63"/>
      <c r="K33" s="63"/>
      <c r="L33" s="64"/>
      <c r="M33" s="63"/>
      <c r="N33" s="63"/>
      <c r="O33" s="63"/>
      <c r="P33" s="63"/>
      <c r="Q33" s="63"/>
      <c r="R33" s="65"/>
      <c r="T33" s="62"/>
      <c r="U33" s="63"/>
      <c r="V33" s="63"/>
      <c r="W33" s="63"/>
      <c r="X33" s="65"/>
    </row>
    <row r="34" spans="6:24" ht="12.75">
      <c r="F34" s="48"/>
      <c r="H34" s="4"/>
      <c r="L34" s="49"/>
      <c r="R34" s="50"/>
      <c r="T34" s="48"/>
      <c r="X34" s="50"/>
    </row>
    <row r="35" spans="6:24" ht="13.5" thickBot="1">
      <c r="F35" s="48"/>
      <c r="G35" s="66"/>
      <c r="H35" s="67"/>
      <c r="I35" s="98"/>
      <c r="K35" s="66"/>
      <c r="L35" s="67"/>
      <c r="M35" s="98"/>
      <c r="O35" s="68"/>
      <c r="P35" s="70"/>
      <c r="R35" s="72"/>
      <c r="T35" s="48"/>
      <c r="U35" s="68"/>
      <c r="V35" s="69"/>
      <c r="W35" s="70"/>
      <c r="X35" s="50"/>
    </row>
    <row r="36" spans="1:42" ht="18" customHeight="1" thickBot="1">
      <c r="A36" s="89"/>
      <c r="B36" s="89"/>
      <c r="C36" s="89"/>
      <c r="D36" s="89"/>
      <c r="E36" s="89"/>
      <c r="F36" s="90"/>
      <c r="G36" s="91"/>
      <c r="H36" s="118" t="str">
        <f>Inputs!$A$1</f>
        <v>Inputs</v>
      </c>
      <c r="I36" s="92"/>
      <c r="J36" s="89"/>
      <c r="K36" s="91"/>
      <c r="L36" s="135" t="str">
        <f>Time!$A$1</f>
        <v>Time</v>
      </c>
      <c r="M36" s="92"/>
      <c r="O36" s="94"/>
      <c r="P36" s="182" t="str">
        <f>Summary_Output!$A$1</f>
        <v>Summary_Output</v>
      </c>
      <c r="R36" s="95"/>
      <c r="T36" s="90"/>
      <c r="U36" s="94"/>
      <c r="V36" s="135" t="str">
        <f>$A$1</f>
        <v>Map &amp; Key</v>
      </c>
      <c r="W36" s="95"/>
      <c r="X36" s="93"/>
      <c r="AA36" s="89"/>
      <c r="AB36" s="89"/>
      <c r="AD36" s="142"/>
      <c r="AE36" s="89"/>
      <c r="AF36" s="89"/>
      <c r="AG36" s="89"/>
      <c r="AH36" s="142"/>
      <c r="AI36" s="89"/>
      <c r="AJ36" s="89"/>
      <c r="AK36" s="89"/>
      <c r="AL36" s="89"/>
      <c r="AM36" s="89"/>
      <c r="AN36" s="89"/>
      <c r="AO36" s="89"/>
      <c r="AP36" s="89"/>
    </row>
    <row r="37" spans="6:34" ht="51">
      <c r="F37" s="48"/>
      <c r="G37" s="101"/>
      <c r="H37" s="103" t="s">
        <v>57</v>
      </c>
      <c r="I37" s="102"/>
      <c r="K37" s="101"/>
      <c r="L37" s="103" t="s">
        <v>58</v>
      </c>
      <c r="M37" s="102"/>
      <c r="O37" s="71"/>
      <c r="P37" s="180" t="s">
        <v>59</v>
      </c>
      <c r="R37" s="72"/>
      <c r="T37" s="48"/>
      <c r="U37" s="71"/>
      <c r="V37" s="103" t="s">
        <v>60</v>
      </c>
      <c r="W37" s="72"/>
      <c r="X37" s="50"/>
      <c r="AD37" s="103"/>
      <c r="AH37" s="103"/>
    </row>
    <row r="38" spans="6:24" ht="13.5" thickBot="1">
      <c r="F38" s="48"/>
      <c r="G38" s="73"/>
      <c r="H38" s="99"/>
      <c r="I38" s="100"/>
      <c r="K38" s="101"/>
      <c r="L38" s="49"/>
      <c r="M38" s="102"/>
      <c r="O38" s="138"/>
      <c r="P38" s="181"/>
      <c r="R38" s="72"/>
      <c r="T38" s="48"/>
      <c r="U38" s="138"/>
      <c r="V38" s="99"/>
      <c r="W38" s="100"/>
      <c r="X38" s="50"/>
    </row>
    <row r="39" spans="1:42" ht="18" customHeight="1" thickBot="1">
      <c r="A39" s="89"/>
      <c r="B39" s="89"/>
      <c r="C39" s="89"/>
      <c r="D39" s="89"/>
      <c r="E39" s="89"/>
      <c r="F39" s="90"/>
      <c r="G39" s="96"/>
      <c r="H39" s="97"/>
      <c r="I39" s="96"/>
      <c r="J39" s="89"/>
      <c r="K39" s="91"/>
      <c r="L39" s="135" t="str">
        <f>Indexation!$A$1</f>
        <v>Indexation</v>
      </c>
      <c r="M39" s="92"/>
      <c r="R39" s="93"/>
      <c r="T39" s="90"/>
      <c r="U39" s="161"/>
      <c r="V39" s="162"/>
      <c r="W39" s="161"/>
      <c r="X39" s="93"/>
      <c r="AA39" s="89"/>
      <c r="AB39" s="89"/>
      <c r="AD39" s="142"/>
      <c r="AE39" s="89"/>
      <c r="AF39" s="89"/>
      <c r="AG39" s="89"/>
      <c r="AH39" s="142"/>
      <c r="AI39" s="89"/>
      <c r="AJ39" s="89"/>
      <c r="AK39" s="89"/>
      <c r="AL39" s="89"/>
      <c r="AM39" s="89"/>
      <c r="AN39" s="89"/>
      <c r="AO39" s="89"/>
      <c r="AP39" s="89"/>
    </row>
    <row r="40" spans="6:34" ht="60" customHeight="1">
      <c r="F40" s="48"/>
      <c r="G40" s="96"/>
      <c r="H40" s="97"/>
      <c r="I40" s="96"/>
      <c r="K40" s="101"/>
      <c r="L40" s="103" t="s">
        <v>61</v>
      </c>
      <c r="M40" s="102"/>
      <c r="R40" s="50"/>
      <c r="T40" s="48"/>
      <c r="X40" s="50"/>
      <c r="AD40" s="103"/>
      <c r="AH40" s="103"/>
    </row>
    <row r="41" spans="6:24" ht="13.5" thickBot="1">
      <c r="F41" s="48"/>
      <c r="G41" s="20"/>
      <c r="H41" s="103"/>
      <c r="K41" s="101"/>
      <c r="L41" s="49"/>
      <c r="M41" s="102"/>
      <c r="R41" s="50"/>
      <c r="T41" s="48"/>
      <c r="X41" s="50"/>
    </row>
    <row r="42" spans="6:34" ht="18" customHeight="1" thickBot="1">
      <c r="F42" s="48"/>
      <c r="G42" s="96"/>
      <c r="H42" s="97"/>
      <c r="I42" s="96"/>
      <c r="K42" s="91"/>
      <c r="L42" s="135" t="str">
        <f>Calc!$A$1</f>
        <v>Calc</v>
      </c>
      <c r="M42" s="92"/>
      <c r="R42" s="50"/>
      <c r="T42" s="48"/>
      <c r="V42" s="103"/>
      <c r="X42" s="50"/>
      <c r="AD42" s="103"/>
      <c r="AH42" s="103"/>
    </row>
    <row r="43" spans="6:34" ht="60" customHeight="1">
      <c r="F43" s="48"/>
      <c r="G43" s="96"/>
      <c r="H43" s="97"/>
      <c r="I43" s="96"/>
      <c r="K43" s="101"/>
      <c r="L43" s="103" t="s">
        <v>62</v>
      </c>
      <c r="M43" s="102"/>
      <c r="R43" s="50"/>
      <c r="T43" s="48"/>
      <c r="V43" s="103"/>
      <c r="X43" s="50"/>
      <c r="AD43" s="103"/>
      <c r="AH43" s="103"/>
    </row>
    <row r="44" spans="6:34" ht="13.5" customHeight="1">
      <c r="F44" s="48"/>
      <c r="G44" s="96"/>
      <c r="H44" s="97"/>
      <c r="I44" s="96"/>
      <c r="K44" s="138"/>
      <c r="L44" s="99"/>
      <c r="M44" s="100"/>
      <c r="R44" s="50"/>
      <c r="T44" s="48"/>
      <c r="V44" s="103"/>
      <c r="X44" s="50"/>
      <c r="AD44" s="103"/>
      <c r="AH44" s="103"/>
    </row>
    <row r="45" spans="6:24" ht="12.75">
      <c r="F45" s="57"/>
      <c r="G45" s="58"/>
      <c r="H45" s="58"/>
      <c r="I45" s="58"/>
      <c r="J45" s="58"/>
      <c r="K45" s="74"/>
      <c r="L45" s="59"/>
      <c r="M45" s="58"/>
      <c r="N45" s="58"/>
      <c r="O45" s="58"/>
      <c r="P45" s="58"/>
      <c r="R45" s="60"/>
      <c r="T45" s="57"/>
      <c r="U45" s="58"/>
      <c r="V45" s="58"/>
      <c r="W45" s="58"/>
      <c r="X45" s="60"/>
    </row>
    <row r="48" spans="1:42" ht="12.75" customHeight="1">
      <c r="A48" s="43" t="s">
        <v>63</v>
      </c>
      <c r="B48" s="43"/>
      <c r="C48" s="44"/>
      <c r="D48" s="45"/>
      <c r="E48" s="43"/>
      <c r="F48" s="43"/>
      <c r="G48" s="43"/>
      <c r="H48" s="43"/>
      <c r="I48" s="43"/>
      <c r="J48" s="43"/>
      <c r="K48" s="43"/>
      <c r="L48" s="43"/>
      <c r="M48" s="43"/>
      <c r="N48" s="43"/>
      <c r="O48" s="43"/>
      <c r="P48" s="43"/>
      <c r="Q48" s="43"/>
      <c r="R48" s="43"/>
      <c r="S48" s="43"/>
      <c r="T48" s="44"/>
      <c r="U48" s="44"/>
      <c r="V48" s="44"/>
      <c r="W48" s="44"/>
      <c r="X48" s="44"/>
      <c r="Y48" s="44"/>
      <c r="Z48" s="44"/>
      <c r="AA48" s="44"/>
      <c r="AB48" s="44"/>
      <c r="AC48" s="44"/>
      <c r="AD48" s="44"/>
      <c r="AE48" s="44"/>
      <c r="AF48" s="44"/>
      <c r="AG48" s="44"/>
      <c r="AH48" s="44"/>
      <c r="AI48" s="44"/>
      <c r="AJ48" s="44"/>
      <c r="AK48" s="44"/>
      <c r="AL48" s="44"/>
      <c r="AM48" s="44"/>
      <c r="AN48" s="44"/>
      <c r="AO48" s="44"/>
      <c r="AP48" s="44"/>
    </row>
    <row r="49" spans="2:8" ht="12.75">
      <c r="B49" s="35"/>
      <c r="C49" s="34"/>
      <c r="D49" s="20"/>
      <c r="E49" s="75"/>
      <c r="H49" s="4"/>
    </row>
    <row r="50" spans="2:10" ht="12.75">
      <c r="B50" s="35"/>
      <c r="C50" s="34"/>
      <c r="D50" s="20"/>
      <c r="H50" s="119" t="s">
        <v>64</v>
      </c>
      <c r="J50" s="4" t="s">
        <v>65</v>
      </c>
    </row>
    <row r="51" spans="2:8" ht="12.75">
      <c r="B51" s="35"/>
      <c r="C51" s="34"/>
      <c r="D51" s="20"/>
      <c r="H51" s="76"/>
    </row>
    <row r="52" spans="2:10" ht="12.75">
      <c r="B52" s="35"/>
      <c r="C52" s="34"/>
      <c r="D52" s="20"/>
      <c r="H52" s="120" t="s">
        <v>66</v>
      </c>
      <c r="J52" s="4" t="s">
        <v>67</v>
      </c>
    </row>
    <row r="53" spans="2:8" ht="12.75">
      <c r="B53" s="35"/>
      <c r="C53" s="34"/>
      <c r="D53" s="20"/>
      <c r="H53" s="76"/>
    </row>
    <row r="54" spans="2:10" ht="12.75">
      <c r="B54" s="35"/>
      <c r="C54" s="34"/>
      <c r="D54" s="20"/>
      <c r="H54" s="77" t="s">
        <v>68</v>
      </c>
      <c r="J54" s="4" t="s">
        <v>69</v>
      </c>
    </row>
    <row r="55" spans="2:8" ht="12.75">
      <c r="B55" s="35"/>
      <c r="C55" s="34"/>
      <c r="D55" s="20"/>
      <c r="H55" s="76"/>
    </row>
    <row r="56" spans="2:10" ht="12.75">
      <c r="B56" s="35"/>
      <c r="C56" s="34"/>
      <c r="D56" s="20"/>
      <c r="H56" s="78" t="s">
        <v>70</v>
      </c>
      <c r="J56" s="4" t="s">
        <v>71</v>
      </c>
    </row>
    <row r="57" spans="2:8" ht="12.75">
      <c r="B57" s="35"/>
      <c r="C57" s="34"/>
      <c r="D57" s="20"/>
      <c r="H57" s="76"/>
    </row>
    <row r="58" spans="2:10" ht="12.75">
      <c r="B58" s="35"/>
      <c r="C58" s="34"/>
      <c r="D58" s="20"/>
      <c r="H58" s="79" t="s">
        <v>72</v>
      </c>
      <c r="J58" s="4" t="s">
        <v>73</v>
      </c>
    </row>
    <row r="59" spans="2:8" ht="12.75">
      <c r="B59" s="35"/>
      <c r="C59" s="34"/>
      <c r="D59" s="20"/>
      <c r="H59" s="4"/>
    </row>
    <row r="60" spans="2:8" ht="12.75">
      <c r="B60" s="35"/>
      <c r="C60" s="34"/>
      <c r="D60" s="20"/>
      <c r="H60" s="4"/>
    </row>
    <row r="61" spans="1:42" ht="12.75" customHeight="1">
      <c r="A61" s="43" t="s">
        <v>74</v>
      </c>
      <c r="B61" s="43"/>
      <c r="C61" s="44"/>
      <c r="D61" s="45"/>
      <c r="E61" s="43"/>
      <c r="F61" s="43"/>
      <c r="G61" s="43"/>
      <c r="H61" s="43"/>
      <c r="I61" s="43"/>
      <c r="J61" s="43"/>
      <c r="K61" s="43"/>
      <c r="L61" s="43"/>
      <c r="M61" s="43"/>
      <c r="N61" s="43"/>
      <c r="O61" s="43"/>
      <c r="P61" s="43"/>
      <c r="Q61" s="43"/>
      <c r="R61" s="43"/>
      <c r="S61" s="43"/>
      <c r="T61" s="44"/>
      <c r="U61" s="44"/>
      <c r="V61" s="44"/>
      <c r="W61" s="44"/>
      <c r="X61" s="44"/>
      <c r="Y61" s="44"/>
      <c r="Z61" s="44"/>
      <c r="AA61" s="44"/>
      <c r="AB61" s="44"/>
      <c r="AC61" s="44"/>
      <c r="AD61" s="44"/>
      <c r="AE61" s="44"/>
      <c r="AF61" s="44"/>
      <c r="AG61" s="44"/>
      <c r="AH61" s="44"/>
      <c r="AI61" s="44"/>
      <c r="AJ61" s="44"/>
      <c r="AK61" s="44"/>
      <c r="AL61" s="44"/>
      <c r="AM61" s="44"/>
      <c r="AN61" s="44"/>
      <c r="AO61" s="44"/>
      <c r="AP61" s="44"/>
    </row>
    <row r="62" spans="2:8" ht="12.75">
      <c r="B62" s="35"/>
      <c r="C62" s="34"/>
      <c r="D62" s="20"/>
      <c r="H62" s="4"/>
    </row>
    <row r="63" spans="2:8" ht="12.75">
      <c r="B63" s="35" t="s">
        <v>75</v>
      </c>
      <c r="C63" s="34"/>
      <c r="D63" s="20"/>
      <c r="H63" s="4"/>
    </row>
    <row r="64" spans="2:10" ht="12.75">
      <c r="B64" s="35"/>
      <c r="C64" s="34"/>
      <c r="D64" s="20"/>
      <c r="H64" s="80" t="s">
        <v>76</v>
      </c>
      <c r="J64" s="4" t="s">
        <v>77</v>
      </c>
    </row>
    <row r="65" spans="2:8" ht="12.75">
      <c r="B65" s="35"/>
      <c r="C65" s="34"/>
      <c r="D65" s="20"/>
      <c r="H65" s="4"/>
    </row>
    <row r="66" spans="2:10" ht="12.75">
      <c r="B66" s="35"/>
      <c r="C66" s="34"/>
      <c r="D66" s="20"/>
      <c r="H66" s="81" t="s">
        <v>78</v>
      </c>
      <c r="J66" s="4" t="s">
        <v>79</v>
      </c>
    </row>
    <row r="67" spans="2:8" ht="12.75">
      <c r="B67" s="35"/>
      <c r="C67" s="34"/>
      <c r="D67" s="20"/>
      <c r="H67" s="4"/>
    </row>
    <row r="68" spans="2:10" ht="12.75">
      <c r="B68" s="35"/>
      <c r="C68" s="34"/>
      <c r="D68" s="20"/>
      <c r="H68" s="4" t="s">
        <v>80</v>
      </c>
      <c r="J68" s="4" t="s">
        <v>81</v>
      </c>
    </row>
    <row r="69" spans="2:8" ht="12.75">
      <c r="B69" s="35"/>
      <c r="C69" s="34"/>
      <c r="D69" s="20"/>
      <c r="H69" s="4"/>
    </row>
    <row r="70" spans="2:8" ht="12.75">
      <c r="B70" s="35" t="s">
        <v>82</v>
      </c>
      <c r="C70" s="34"/>
      <c r="D70" s="20"/>
      <c r="H70" s="4"/>
    </row>
    <row r="71" spans="2:10" ht="12.75">
      <c r="B71" s="35"/>
      <c r="C71" s="34"/>
      <c r="D71" s="20"/>
      <c r="H71" s="121" t="s">
        <v>83</v>
      </c>
      <c r="J71" s="4" t="s">
        <v>46</v>
      </c>
    </row>
    <row r="72" spans="2:8" ht="12.75">
      <c r="B72" s="35"/>
      <c r="C72" s="34"/>
      <c r="D72" s="20"/>
      <c r="H72" s="4"/>
    </row>
    <row r="73" spans="2:10" ht="12.75">
      <c r="B73" s="35"/>
      <c r="C73" s="34"/>
      <c r="D73" s="20"/>
      <c r="H73" s="104" t="s">
        <v>84</v>
      </c>
      <c r="J73" s="4" t="s">
        <v>85</v>
      </c>
    </row>
    <row r="74" spans="2:8" ht="12.75">
      <c r="B74" s="35"/>
      <c r="C74" s="34"/>
      <c r="D74" s="20"/>
      <c r="H74" s="4"/>
    </row>
    <row r="75" spans="2:10" ht="12.75">
      <c r="B75" s="35"/>
      <c r="C75" s="34"/>
      <c r="D75" s="20"/>
      <c r="H75" s="122" t="s">
        <v>86</v>
      </c>
      <c r="J75" s="4" t="s">
        <v>87</v>
      </c>
    </row>
    <row r="76" spans="2:8" ht="12.75">
      <c r="B76" s="35"/>
      <c r="C76" s="34"/>
      <c r="D76" s="20"/>
      <c r="H76" s="4"/>
    </row>
    <row r="77" spans="2:10" ht="12.75">
      <c r="B77" s="35"/>
      <c r="C77" s="34"/>
      <c r="D77" s="20"/>
      <c r="H77" s="104" t="s">
        <v>88</v>
      </c>
      <c r="J77" s="4" t="s">
        <v>89</v>
      </c>
    </row>
    <row r="78" spans="2:8" ht="12.75">
      <c r="B78" s="35"/>
      <c r="C78" s="34"/>
      <c r="D78" s="20"/>
      <c r="H78" s="4"/>
    </row>
    <row r="79" spans="2:8" ht="12.75">
      <c r="B79" s="35" t="s">
        <v>90</v>
      </c>
      <c r="C79" s="34"/>
      <c r="D79" s="20"/>
      <c r="H79" s="4"/>
    </row>
    <row r="80" spans="2:10" ht="12.75">
      <c r="B80" s="35"/>
      <c r="C80" s="34"/>
      <c r="D80" s="20"/>
      <c r="H80" s="82" t="s">
        <v>91</v>
      </c>
      <c r="J80" s="4" t="s">
        <v>92</v>
      </c>
    </row>
    <row r="81" spans="2:8" ht="12.75">
      <c r="B81" s="35"/>
      <c r="C81" s="34"/>
      <c r="D81" s="20"/>
      <c r="H81" s="4"/>
    </row>
    <row r="82" spans="2:10" ht="12.75">
      <c r="B82" s="35"/>
      <c r="C82" s="34"/>
      <c r="D82" s="20"/>
      <c r="H82" s="83" t="s">
        <v>93</v>
      </c>
      <c r="J82" s="4" t="s">
        <v>94</v>
      </c>
    </row>
    <row r="83" spans="2:8" ht="12.75">
      <c r="B83" s="35"/>
      <c r="C83" s="34"/>
      <c r="D83" s="20"/>
      <c r="H83" s="4"/>
    </row>
    <row r="84" spans="2:10" ht="12.75">
      <c r="B84" s="35"/>
      <c r="C84" s="34"/>
      <c r="D84" s="20"/>
      <c r="H84" s="84" t="s">
        <v>95</v>
      </c>
      <c r="J84" s="4" t="s">
        <v>96</v>
      </c>
    </row>
    <row r="85" spans="2:8" ht="12.75">
      <c r="B85" s="35"/>
      <c r="C85" s="34"/>
      <c r="D85" s="20"/>
      <c r="H85" s="4"/>
    </row>
    <row r="86" spans="2:10" ht="12.75">
      <c r="B86" s="35"/>
      <c r="C86" s="34"/>
      <c r="D86" s="20"/>
      <c r="H86" s="85" t="s">
        <v>97</v>
      </c>
      <c r="J86" s="4" t="s">
        <v>98</v>
      </c>
    </row>
    <row r="87" spans="2:8" ht="12.75">
      <c r="B87" s="35"/>
      <c r="C87" s="34"/>
      <c r="D87" s="20"/>
      <c r="H87" s="4"/>
    </row>
    <row r="88" spans="2:10" ht="12.75">
      <c r="B88" s="35"/>
      <c r="C88" s="34"/>
      <c r="D88" s="20"/>
      <c r="H88" s="123" t="s">
        <v>99</v>
      </c>
      <c r="J88" s="4" t="s">
        <v>100</v>
      </c>
    </row>
    <row r="89" spans="2:8" ht="12.75">
      <c r="B89" s="35"/>
      <c r="C89" s="34"/>
      <c r="D89" s="20"/>
      <c r="H89" s="4"/>
    </row>
    <row r="90" spans="2:8" ht="12.75">
      <c r="B90" s="35" t="s">
        <v>101</v>
      </c>
      <c r="C90" s="34"/>
      <c r="D90" s="20"/>
      <c r="H90" s="4"/>
    </row>
    <row r="91" spans="2:10" ht="12.75">
      <c r="B91" s="35"/>
      <c r="C91" s="34"/>
      <c r="D91" s="20"/>
      <c r="H91" s="134" t="s">
        <v>102</v>
      </c>
      <c r="J91" s="4" t="s">
        <v>103</v>
      </c>
    </row>
    <row r="92" spans="2:8" ht="12.75">
      <c r="B92" s="35"/>
      <c r="C92" s="34"/>
      <c r="D92" s="20"/>
      <c r="H92" s="4"/>
    </row>
    <row r="93" spans="2:10" ht="12.75">
      <c r="B93" s="35"/>
      <c r="C93" s="34"/>
      <c r="D93" s="20"/>
      <c r="H93" s="86" t="s">
        <v>104</v>
      </c>
      <c r="J93" s="4" t="s">
        <v>105</v>
      </c>
    </row>
    <row r="94" spans="2:8" ht="12.75">
      <c r="B94" s="35"/>
      <c r="C94" s="34"/>
      <c r="D94" s="20"/>
      <c r="H94" s="4"/>
    </row>
    <row r="95" spans="2:10" ht="12.75">
      <c r="B95" s="35"/>
      <c r="C95" s="34"/>
      <c r="D95" s="20"/>
      <c r="H95" s="87" t="s">
        <v>106</v>
      </c>
      <c r="J95" s="4" t="s">
        <v>107</v>
      </c>
    </row>
    <row r="96" spans="2:8" ht="12.75">
      <c r="B96" s="35"/>
      <c r="C96" s="34"/>
      <c r="D96" s="20"/>
      <c r="H96" s="4"/>
    </row>
    <row r="97" spans="2:8" ht="12.75">
      <c r="B97" s="35"/>
      <c r="C97" s="34"/>
      <c r="E97" s="75"/>
      <c r="G97" s="75"/>
      <c r="H97" s="4"/>
    </row>
    <row r="98" spans="1:42" ht="12.75" customHeight="1">
      <c r="A98" s="43" t="s">
        <v>108</v>
      </c>
      <c r="B98" s="43"/>
      <c r="C98" s="44"/>
      <c r="D98" s="45"/>
      <c r="E98" s="43"/>
      <c r="F98" s="43"/>
      <c r="G98" s="43"/>
      <c r="H98" s="43"/>
      <c r="I98" s="43"/>
      <c r="J98" s="43"/>
      <c r="K98" s="43"/>
      <c r="L98" s="43"/>
      <c r="M98" s="43"/>
      <c r="N98" s="43"/>
      <c r="O98" s="43"/>
      <c r="P98" s="43"/>
      <c r="Q98" s="43"/>
      <c r="R98" s="43"/>
      <c r="S98" s="43"/>
      <c r="T98" s="44"/>
      <c r="U98" s="44"/>
      <c r="V98" s="44"/>
      <c r="W98" s="44"/>
      <c r="X98" s="44"/>
      <c r="Y98" s="44"/>
      <c r="Z98" s="44"/>
      <c r="AA98" s="44"/>
      <c r="AB98" s="44"/>
      <c r="AC98" s="44"/>
      <c r="AD98" s="44"/>
      <c r="AE98" s="44"/>
      <c r="AF98" s="44"/>
      <c r="AG98" s="44"/>
      <c r="AH98" s="44"/>
      <c r="AI98" s="44"/>
      <c r="AJ98" s="44"/>
      <c r="AK98" s="44"/>
      <c r="AL98" s="44"/>
      <c r="AM98" s="44"/>
      <c r="AN98" s="44"/>
      <c r="AO98" s="44"/>
      <c r="AP98" s="44"/>
    </row>
    <row r="99" spans="2:8" ht="12.75">
      <c r="B99" s="35"/>
      <c r="C99" s="34"/>
      <c r="D99" s="20"/>
      <c r="H99" s="4"/>
    </row>
    <row r="100" spans="2:9" ht="12.75">
      <c r="B100" s="35"/>
      <c r="C100" s="34"/>
      <c r="D100" s="20"/>
      <c r="H100" s="4" t="s">
        <v>109</v>
      </c>
      <c r="I100" s="4" t="s">
        <v>110</v>
      </c>
    </row>
    <row r="101" spans="2:9" ht="12.75">
      <c r="B101" s="35"/>
      <c r="C101" s="34"/>
      <c r="D101" s="20"/>
      <c r="H101" s="4" t="s">
        <v>111</v>
      </c>
      <c r="I101" s="4" t="s">
        <v>112</v>
      </c>
    </row>
    <row r="102" spans="2:9" ht="12.75">
      <c r="B102" s="35"/>
      <c r="C102" s="34"/>
      <c r="D102" s="20"/>
      <c r="H102" s="4" t="s">
        <v>113</v>
      </c>
      <c r="I102" s="4" t="s">
        <v>114</v>
      </c>
    </row>
    <row r="103" spans="2:9" ht="12.75">
      <c r="B103" s="35"/>
      <c r="C103" s="34"/>
      <c r="D103" s="20"/>
      <c r="H103" s="4" t="s">
        <v>115</v>
      </c>
      <c r="I103" s="4" t="s">
        <v>116</v>
      </c>
    </row>
    <row r="104" spans="2:9" ht="12.75">
      <c r="B104" s="35"/>
      <c r="C104" s="34"/>
      <c r="D104" s="20"/>
      <c r="H104" s="4" t="s">
        <v>117</v>
      </c>
      <c r="I104" s="4" t="s">
        <v>118</v>
      </c>
    </row>
    <row r="105" spans="2:9" ht="12.75">
      <c r="B105" s="35"/>
      <c r="C105" s="34"/>
      <c r="D105" s="20"/>
      <c r="H105" s="4" t="s">
        <v>119</v>
      </c>
      <c r="I105" s="4" t="s">
        <v>120</v>
      </c>
    </row>
    <row r="106" spans="2:9" ht="12.75">
      <c r="B106" s="35"/>
      <c r="C106" s="34"/>
      <c r="D106" s="20"/>
      <c r="H106" s="4" t="s">
        <v>121</v>
      </c>
      <c r="I106" s="4" t="s">
        <v>122</v>
      </c>
    </row>
    <row r="107" spans="2:8" ht="12.75">
      <c r="B107" s="35"/>
      <c r="C107" s="34"/>
      <c r="D107" s="20"/>
      <c r="H107" s="4"/>
    </row>
    <row r="108" spans="2:8" ht="12.75">
      <c r="B108" s="35"/>
      <c r="C108" s="34"/>
      <c r="D108" s="20"/>
      <c r="H108" s="4"/>
    </row>
    <row r="109" spans="1:42" ht="12.75" customHeight="1">
      <c r="A109" s="43" t="s">
        <v>123</v>
      </c>
      <c r="B109" s="43"/>
      <c r="C109" s="44"/>
      <c r="D109" s="45"/>
      <c r="E109" s="43"/>
      <c r="F109" s="43"/>
      <c r="G109" s="43"/>
      <c r="H109" s="43"/>
      <c r="I109" s="43"/>
      <c r="J109" s="43"/>
      <c r="K109" s="43"/>
      <c r="L109" s="43"/>
      <c r="M109" s="43"/>
      <c r="N109" s="43"/>
      <c r="O109" s="43"/>
      <c r="P109" s="43"/>
      <c r="Q109" s="43"/>
      <c r="R109" s="43"/>
      <c r="S109" s="43"/>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row>
    <row r="110" spans="2:8" ht="12.75">
      <c r="B110" s="35"/>
      <c r="C110" s="34"/>
      <c r="D110" s="20"/>
      <c r="H110" s="4"/>
    </row>
    <row r="111" spans="2:8" ht="12.75">
      <c r="B111" s="35"/>
      <c r="C111" s="34"/>
      <c r="D111" s="20"/>
      <c r="H111" s="4" t="s">
        <v>124</v>
      </c>
    </row>
    <row r="112" spans="2:8" ht="12.75">
      <c r="B112" s="35"/>
      <c r="C112" s="34"/>
      <c r="D112" s="20"/>
      <c r="H112" s="4"/>
    </row>
    <row r="113" spans="2:8" ht="12.75">
      <c r="B113" s="35"/>
      <c r="C113" s="34"/>
      <c r="D113" s="20"/>
      <c r="H113" s="4"/>
    </row>
    <row r="114" spans="1:42" ht="12.75" customHeight="1">
      <c r="A114" s="43" t="s">
        <v>125</v>
      </c>
      <c r="B114" s="43"/>
      <c r="C114" s="44"/>
      <c r="D114" s="45"/>
      <c r="E114" s="43"/>
      <c r="F114" s="43"/>
      <c r="G114" s="43"/>
      <c r="H114" s="43"/>
      <c r="I114" s="43"/>
      <c r="J114" s="43"/>
      <c r="K114" s="43"/>
      <c r="L114" s="43"/>
      <c r="M114" s="43"/>
      <c r="N114" s="43"/>
      <c r="O114" s="43"/>
      <c r="P114" s="43"/>
      <c r="Q114" s="43"/>
      <c r="R114" s="43"/>
      <c r="S114" s="43"/>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row>
    <row r="115" spans="2:8" ht="12.75">
      <c r="B115" s="35"/>
      <c r="C115" s="34"/>
      <c r="D115" s="20"/>
      <c r="H115" s="4"/>
    </row>
    <row r="116" spans="2:10" ht="12.75">
      <c r="B116" s="35"/>
      <c r="C116" s="34"/>
      <c r="D116" s="20"/>
      <c r="H116" s="4" t="s">
        <v>126</v>
      </c>
      <c r="J116" s="4" t="s">
        <v>127</v>
      </c>
    </row>
    <row r="117" spans="2:10" ht="12.75">
      <c r="B117" s="35"/>
      <c r="C117" s="34"/>
      <c r="D117" s="20"/>
      <c r="H117" s="4" t="s">
        <v>128</v>
      </c>
      <c r="J117" s="4" t="s">
        <v>129</v>
      </c>
    </row>
    <row r="118" spans="2:10" ht="12.75">
      <c r="B118" s="35"/>
      <c r="C118" s="34"/>
      <c r="D118" s="20"/>
      <c r="H118" s="4" t="s">
        <v>130</v>
      </c>
      <c r="J118" s="4" t="s">
        <v>131</v>
      </c>
    </row>
    <row r="119" spans="2:8" ht="12.75">
      <c r="B119" s="35"/>
      <c r="C119" s="34"/>
      <c r="D119" s="20"/>
      <c r="H119" s="4"/>
    </row>
    <row r="121" ht="12.75">
      <c r="A121" s="35" t="s">
        <v>15</v>
      </c>
    </row>
  </sheetData>
  <sheetProtection/>
  <conditionalFormatting sqref="AD32">
    <cfRule type="cellIs" priority="13" dxfId="24" operator="equal" stopIfTrue="1">
      <formula>"FEED"</formula>
    </cfRule>
    <cfRule type="cellIs" priority="14" dxfId="23" operator="equal" stopIfTrue="1">
      <formula>"EPC"</formula>
    </cfRule>
    <cfRule type="cellIs" priority="15" dxfId="1" operator="equal" stopIfTrue="1">
      <formula>"Operations"</formula>
    </cfRule>
  </conditionalFormatting>
  <conditionalFormatting sqref="AH32">
    <cfRule type="cellIs" priority="10" dxfId="24" operator="equal" stopIfTrue="1">
      <formula>"FEED"</formula>
    </cfRule>
    <cfRule type="cellIs" priority="11" dxfId="23" operator="equal" stopIfTrue="1">
      <formula>"EPC"</formula>
    </cfRule>
    <cfRule type="cellIs" priority="12" dxfId="1" operator="equal" stopIfTrue="1">
      <formula>"Operations"</formula>
    </cfRule>
  </conditionalFormatting>
  <conditionalFormatting sqref="V32">
    <cfRule type="cellIs" priority="7" dxfId="24" operator="equal" stopIfTrue="1">
      <formula>"FEED"</formula>
    </cfRule>
    <cfRule type="cellIs" priority="8" dxfId="23" operator="equal" stopIfTrue="1">
      <formula>"EPC"</formula>
    </cfRule>
    <cfRule type="cellIs" priority="9" dxfId="1" operator="equal" stopIfTrue="1">
      <formula>"Operations"</formula>
    </cfRule>
  </conditionalFormatting>
  <conditionalFormatting sqref="AB32">
    <cfRule type="cellIs" priority="1" dxfId="24" operator="equal" stopIfTrue="1">
      <formula>"FEED"</formula>
    </cfRule>
    <cfRule type="cellIs" priority="2" dxfId="23" operator="equal" stopIfTrue="1">
      <formula>"EPC"</formula>
    </cfRule>
    <cfRule type="cellIs" priority="3" dxfId="1" operator="equal" stopIfTrue="1">
      <formula>"Operations"</formula>
    </cfRule>
  </conditionalFormatting>
  <hyperlinks>
    <hyperlink ref="J117" r:id="rId1" display="javascript:AppendPopup(this,'785243203_2')"/>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8" r:id="rId3"/>
  <headerFooter>
    <oddHeader>&amp;L&amp;F&amp;CSheet: &amp;A&amp;ROFFICIAL</oddHeader>
    <oddFooter>&amp;LPrinted on &amp;D at &amp;T&amp;CPage &amp;P of &amp;N&amp;ROfwat</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B56"/>
  <sheetViews>
    <sheetView zoomScalePageLayoutView="0" workbookViewId="0" topLeftCell="D34">
      <selection activeCell="N38" sqref="N38"/>
    </sheetView>
  </sheetViews>
  <sheetFormatPr defaultColWidth="9.140625" defaultRowHeight="12.75"/>
  <cols>
    <col min="1" max="1" width="6.00390625" style="565" customWidth="1"/>
    <col min="2" max="2" width="26.8515625" style="565" customWidth="1"/>
    <col min="3" max="3" width="73.8515625" style="566" customWidth="1"/>
    <col min="4" max="4" width="3.7109375" style="565" customWidth="1"/>
    <col min="5" max="5" width="17.57421875" style="565" customWidth="1"/>
    <col min="6" max="17" width="8.7109375" style="565" customWidth="1"/>
    <col min="18" max="18" width="16.28125" style="565" customWidth="1"/>
    <col min="19" max="16384" width="9.140625" style="565" customWidth="1"/>
  </cols>
  <sheetData>
    <row r="1" ht="12.75">
      <c r="C1" s="566" t="s">
        <v>622</v>
      </c>
    </row>
    <row r="2" spans="1:6" ht="12.75">
      <c r="A2" s="565" t="s">
        <v>429</v>
      </c>
      <c r="B2" s="565" t="s">
        <v>430</v>
      </c>
      <c r="C2" s="566" t="s">
        <v>431</v>
      </c>
      <c r="D2" s="565" t="s">
        <v>134</v>
      </c>
      <c r="E2" s="565" t="s">
        <v>432</v>
      </c>
      <c r="F2" s="565" t="s">
        <v>444</v>
      </c>
    </row>
    <row r="4" ht="12.75">
      <c r="F4" s="565" t="s">
        <v>623</v>
      </c>
    </row>
    <row r="5" spans="6:26" ht="12.75">
      <c r="F5" s="565" t="s">
        <v>624</v>
      </c>
      <c r="T5" s="601" t="s">
        <v>818</v>
      </c>
      <c r="U5" s="601"/>
      <c r="V5" s="601"/>
      <c r="W5" s="567"/>
      <c r="X5" s="601" t="s">
        <v>819</v>
      </c>
      <c r="Y5" s="601"/>
      <c r="Z5" s="601"/>
    </row>
    <row r="6" spans="6:22" ht="12.75">
      <c r="F6" s="565" t="s">
        <v>433</v>
      </c>
      <c r="G6" s="565" t="s">
        <v>434</v>
      </c>
      <c r="H6" s="565" t="s">
        <v>435</v>
      </c>
      <c r="I6" s="565" t="s">
        <v>436</v>
      </c>
      <c r="J6" s="565" t="s">
        <v>437</v>
      </c>
      <c r="K6" s="565" t="s">
        <v>438</v>
      </c>
      <c r="L6" s="565" t="s">
        <v>439</v>
      </c>
      <c r="M6" s="565" t="s">
        <v>440</v>
      </c>
      <c r="N6" s="565" t="s">
        <v>441</v>
      </c>
      <c r="O6" s="565" t="s">
        <v>462</v>
      </c>
      <c r="P6" s="565" t="s">
        <v>625</v>
      </c>
      <c r="Q6" s="565" t="s">
        <v>626</v>
      </c>
      <c r="R6" s="565" t="s">
        <v>442</v>
      </c>
      <c r="T6" s="565" t="s">
        <v>440</v>
      </c>
      <c r="U6" s="565" t="s">
        <v>441</v>
      </c>
      <c r="V6" s="565" t="s">
        <v>462</v>
      </c>
    </row>
    <row r="7" spans="1:26" ht="12.75">
      <c r="A7" s="565" t="s">
        <v>699</v>
      </c>
      <c r="B7" s="565" t="s">
        <v>480</v>
      </c>
      <c r="C7" s="566" t="s">
        <v>627</v>
      </c>
      <c r="D7" s="565" t="s">
        <v>443</v>
      </c>
      <c r="E7" s="565" t="s">
        <v>444</v>
      </c>
      <c r="F7" s="568">
        <v>93.3</v>
      </c>
      <c r="G7" s="568">
        <v>95.9</v>
      </c>
      <c r="H7" s="568">
        <v>98</v>
      </c>
      <c r="I7" s="568">
        <v>99.6</v>
      </c>
      <c r="J7" s="568">
        <v>99.9</v>
      </c>
      <c r="K7" s="568">
        <v>100.6</v>
      </c>
      <c r="L7" s="568">
        <v>103.2</v>
      </c>
      <c r="M7" s="569">
        <f>+App23!N22</f>
        <v>105.5</v>
      </c>
      <c r="N7" s="569">
        <f>+App23!O22</f>
        <v>107.6522</v>
      </c>
      <c r="O7" s="569">
        <f>+App23!P22</f>
        <v>109.805244</v>
      </c>
      <c r="P7" s="568"/>
      <c r="Q7" s="568"/>
      <c r="R7" s="568"/>
      <c r="T7" s="565">
        <v>105.85224</v>
      </c>
      <c r="U7" s="565">
        <v>108.318597192</v>
      </c>
      <c r="V7" s="565">
        <v>110.48496913584</v>
      </c>
      <c r="X7" s="565">
        <f>+T7-M7</f>
        <v>0.3522399999999948</v>
      </c>
      <c r="Y7" s="565">
        <f>+U7-N7</f>
        <v>0.6663971920000051</v>
      </c>
      <c r="Z7" s="565">
        <f>+V7-O7</f>
        <v>0.6797251358400018</v>
      </c>
    </row>
    <row r="8" spans="1:26" ht="12.75">
      <c r="A8" s="565" t="s">
        <v>699</v>
      </c>
      <c r="B8" s="565" t="s">
        <v>481</v>
      </c>
      <c r="C8" s="566" t="s">
        <v>628</v>
      </c>
      <c r="D8" s="565" t="s">
        <v>443</v>
      </c>
      <c r="E8" s="565" t="s">
        <v>444</v>
      </c>
      <c r="F8" s="568">
        <v>93.5</v>
      </c>
      <c r="G8" s="568">
        <v>95.9</v>
      </c>
      <c r="H8" s="568">
        <v>98.2</v>
      </c>
      <c r="I8" s="568">
        <v>99.6</v>
      </c>
      <c r="J8" s="568">
        <v>100.1</v>
      </c>
      <c r="K8" s="568">
        <v>100.8</v>
      </c>
      <c r="L8" s="568">
        <v>103.5</v>
      </c>
      <c r="M8" s="569">
        <f>+App23!N23</f>
        <v>105.9</v>
      </c>
      <c r="N8" s="569">
        <f>+App23!O23</f>
        <v>107.88033</v>
      </c>
      <c r="O8" s="569">
        <f>+App23!P23</f>
        <v>110.03793660000001</v>
      </c>
      <c r="P8" s="568"/>
      <c r="Q8" s="568"/>
      <c r="R8" s="568"/>
      <c r="T8" s="565">
        <v>106.11855</v>
      </c>
      <c r="U8" s="565">
        <v>108.527441085</v>
      </c>
      <c r="V8" s="565">
        <v>110.6979899067</v>
      </c>
      <c r="X8" s="565">
        <f aca="true" t="shared" si="0" ref="X8:X30">+T8-M8</f>
        <v>0.21854999999999336</v>
      </c>
      <c r="Y8" s="565">
        <f aca="true" t="shared" si="1" ref="Y8:Y30">+U8-N8</f>
        <v>0.6471110850000059</v>
      </c>
      <c r="Z8" s="565">
        <f aca="true" t="shared" si="2" ref="Z8:Z30">+V8-O8</f>
        <v>0.660053306699993</v>
      </c>
    </row>
    <row r="9" spans="1:26" ht="12.75">
      <c r="A9" s="565" t="s">
        <v>699</v>
      </c>
      <c r="B9" s="565" t="s">
        <v>482</v>
      </c>
      <c r="C9" s="566" t="s">
        <v>629</v>
      </c>
      <c r="D9" s="565" t="s">
        <v>443</v>
      </c>
      <c r="E9" s="565" t="s">
        <v>444</v>
      </c>
      <c r="F9" s="568">
        <v>93.5</v>
      </c>
      <c r="G9" s="568">
        <v>95.6</v>
      </c>
      <c r="H9" s="568">
        <v>98</v>
      </c>
      <c r="I9" s="568">
        <v>99.8</v>
      </c>
      <c r="J9" s="568">
        <v>100.1</v>
      </c>
      <c r="K9" s="568">
        <v>101</v>
      </c>
      <c r="L9" s="568">
        <v>103.5</v>
      </c>
      <c r="M9" s="569">
        <f>+App23!N24</f>
        <v>105.9</v>
      </c>
      <c r="N9" s="569">
        <f>+App23!O24</f>
        <v>107.92268999999999</v>
      </c>
      <c r="O9" s="569">
        <f>+App23!P24</f>
        <v>110.08114379999999</v>
      </c>
      <c r="P9" s="568"/>
      <c r="Q9" s="568"/>
      <c r="R9" s="568"/>
      <c r="T9" s="565">
        <v>106.191</v>
      </c>
      <c r="U9" s="565">
        <v>108.6015357</v>
      </c>
      <c r="V9" s="565">
        <v>110.773566414</v>
      </c>
      <c r="X9" s="565">
        <f t="shared" si="0"/>
        <v>0.2909999999999968</v>
      </c>
      <c r="Y9" s="565">
        <f t="shared" si="1"/>
        <v>0.6788457000000108</v>
      </c>
      <c r="Z9" s="565">
        <f t="shared" si="2"/>
        <v>0.6924226140000087</v>
      </c>
    </row>
    <row r="10" spans="1:26" ht="12.75">
      <c r="A10" s="565" t="s">
        <v>699</v>
      </c>
      <c r="B10" s="565" t="s">
        <v>483</v>
      </c>
      <c r="C10" s="566" t="s">
        <v>630</v>
      </c>
      <c r="D10" s="565" t="s">
        <v>443</v>
      </c>
      <c r="E10" s="565" t="s">
        <v>444</v>
      </c>
      <c r="F10" s="568">
        <v>93.5</v>
      </c>
      <c r="G10" s="568">
        <v>95.7</v>
      </c>
      <c r="H10" s="568">
        <v>98</v>
      </c>
      <c r="I10" s="568">
        <v>99.6</v>
      </c>
      <c r="J10" s="568">
        <v>100</v>
      </c>
      <c r="K10" s="568">
        <v>100.9</v>
      </c>
      <c r="L10" s="568">
        <v>103.5</v>
      </c>
      <c r="M10" s="569">
        <f>+App23!N25</f>
        <v>105.9</v>
      </c>
      <c r="N10" s="569">
        <f>+App23!O25</f>
        <v>107.84856</v>
      </c>
      <c r="O10" s="569">
        <f>+App23!P25</f>
        <v>110.00553120000001</v>
      </c>
      <c r="P10" s="568"/>
      <c r="Q10" s="568"/>
      <c r="R10" s="568"/>
      <c r="T10" s="565">
        <v>106.11855</v>
      </c>
      <c r="U10" s="565">
        <v>108.506217375</v>
      </c>
      <c r="V10" s="565">
        <v>110.6763417225</v>
      </c>
      <c r="X10" s="565">
        <f t="shared" si="0"/>
        <v>0.21854999999999336</v>
      </c>
      <c r="Y10" s="565">
        <f t="shared" si="1"/>
        <v>0.6576573749999994</v>
      </c>
      <c r="Z10" s="565">
        <f t="shared" si="2"/>
        <v>0.6708105224999912</v>
      </c>
    </row>
    <row r="11" spans="1:26" ht="12.75">
      <c r="A11" s="565" t="s">
        <v>699</v>
      </c>
      <c r="B11" s="565" t="s">
        <v>484</v>
      </c>
      <c r="C11" s="566" t="s">
        <v>631</v>
      </c>
      <c r="D11" s="565" t="s">
        <v>443</v>
      </c>
      <c r="E11" s="565" t="s">
        <v>444</v>
      </c>
      <c r="F11" s="568">
        <v>93.9</v>
      </c>
      <c r="G11" s="568">
        <v>96.1</v>
      </c>
      <c r="H11" s="568">
        <v>98.4</v>
      </c>
      <c r="I11" s="568">
        <v>99.9</v>
      </c>
      <c r="J11" s="568">
        <v>100.3</v>
      </c>
      <c r="K11" s="568">
        <v>101.2</v>
      </c>
      <c r="L11" s="568">
        <v>104</v>
      </c>
      <c r="M11" s="569">
        <f>+App23!N26</f>
        <v>106.5</v>
      </c>
      <c r="N11" s="569">
        <f>+App23!O26</f>
        <v>108.40635</v>
      </c>
      <c r="O11" s="569">
        <f>+App23!P26</f>
        <v>110.574477</v>
      </c>
      <c r="P11" s="568"/>
      <c r="Q11" s="568"/>
      <c r="R11" s="568"/>
      <c r="T11" s="565">
        <v>106.6</v>
      </c>
      <c r="U11" s="565">
        <v>108.9985</v>
      </c>
      <c r="V11" s="565">
        <v>111.17847</v>
      </c>
      <c r="X11" s="565">
        <f t="shared" si="0"/>
        <v>0.09999999999999432</v>
      </c>
      <c r="Y11" s="565">
        <f t="shared" si="1"/>
        <v>0.5921500000000037</v>
      </c>
      <c r="Z11" s="565">
        <f t="shared" si="2"/>
        <v>0.6039930000000027</v>
      </c>
    </row>
    <row r="12" spans="1:26" ht="12.75">
      <c r="A12" s="565" t="s">
        <v>699</v>
      </c>
      <c r="B12" s="565" t="s">
        <v>485</v>
      </c>
      <c r="C12" s="566" t="s">
        <v>632</v>
      </c>
      <c r="D12" s="565" t="s">
        <v>443</v>
      </c>
      <c r="E12" s="565" t="s">
        <v>444</v>
      </c>
      <c r="F12" s="568">
        <v>94.5</v>
      </c>
      <c r="G12" s="568">
        <v>96.4</v>
      </c>
      <c r="H12" s="568">
        <v>98.7</v>
      </c>
      <c r="I12" s="568">
        <v>100</v>
      </c>
      <c r="J12" s="568">
        <v>100.2</v>
      </c>
      <c r="K12" s="568">
        <v>101.5</v>
      </c>
      <c r="L12" s="568">
        <v>104.3</v>
      </c>
      <c r="M12" s="569">
        <f>+App23!N27</f>
        <v>106.6</v>
      </c>
      <c r="N12" s="569">
        <f>+App23!O27</f>
        <v>108.52946</v>
      </c>
      <c r="O12" s="569">
        <f>+App23!P27</f>
        <v>110.7000492</v>
      </c>
      <c r="P12" s="568"/>
      <c r="Q12" s="568"/>
      <c r="R12" s="568"/>
      <c r="T12" s="565">
        <v>106.83449</v>
      </c>
      <c r="U12" s="565">
        <v>109.238266025</v>
      </c>
      <c r="V12" s="565">
        <v>111.4230313455</v>
      </c>
      <c r="X12" s="565">
        <f t="shared" si="0"/>
        <v>0.23449000000000808</v>
      </c>
      <c r="Y12" s="565">
        <f t="shared" si="1"/>
        <v>0.7088060250000012</v>
      </c>
      <c r="Z12" s="565">
        <f t="shared" si="2"/>
        <v>0.7229821454999978</v>
      </c>
    </row>
    <row r="13" spans="1:26" ht="12.75">
      <c r="A13" s="565" t="s">
        <v>699</v>
      </c>
      <c r="B13" s="565" t="s">
        <v>486</v>
      </c>
      <c r="C13" s="566" t="s">
        <v>633</v>
      </c>
      <c r="D13" s="565" t="s">
        <v>443</v>
      </c>
      <c r="E13" s="565" t="s">
        <v>444</v>
      </c>
      <c r="F13" s="568">
        <v>94.5</v>
      </c>
      <c r="G13" s="568">
        <v>96.8</v>
      </c>
      <c r="H13" s="568">
        <v>98.8</v>
      </c>
      <c r="I13" s="568">
        <v>100.1</v>
      </c>
      <c r="J13" s="568">
        <v>100.3</v>
      </c>
      <c r="K13" s="568">
        <v>101.6</v>
      </c>
      <c r="L13" s="568">
        <v>104.4</v>
      </c>
      <c r="M13" s="569">
        <f>+App23!N28</f>
        <v>106.7</v>
      </c>
      <c r="N13" s="569">
        <f>+App23!O28</f>
        <v>108.44988</v>
      </c>
      <c r="O13" s="569">
        <f>+App23!P28</f>
        <v>110.61887759999999</v>
      </c>
      <c r="P13" s="568"/>
      <c r="Q13" s="568"/>
      <c r="R13" s="568"/>
      <c r="T13" s="565">
        <v>106.97868</v>
      </c>
      <c r="U13" s="565">
        <v>109.33221096</v>
      </c>
      <c r="V13" s="565">
        <v>111.5188551792</v>
      </c>
      <c r="X13" s="565">
        <f t="shared" si="0"/>
        <v>0.27867999999999427</v>
      </c>
      <c r="Y13" s="565">
        <f t="shared" si="1"/>
        <v>0.8823309600000044</v>
      </c>
      <c r="Z13" s="565">
        <f t="shared" si="2"/>
        <v>0.8999775792000122</v>
      </c>
    </row>
    <row r="14" spans="1:26" ht="12.75">
      <c r="A14" s="565" t="s">
        <v>699</v>
      </c>
      <c r="B14" s="565" t="s">
        <v>487</v>
      </c>
      <c r="C14" s="566" t="s">
        <v>634</v>
      </c>
      <c r="D14" s="565" t="s">
        <v>443</v>
      </c>
      <c r="E14" s="565" t="s">
        <v>444</v>
      </c>
      <c r="F14" s="568">
        <v>94.7</v>
      </c>
      <c r="G14" s="568">
        <v>97</v>
      </c>
      <c r="H14" s="568">
        <v>98.8</v>
      </c>
      <c r="I14" s="568">
        <v>99.9</v>
      </c>
      <c r="J14" s="568">
        <v>100.3</v>
      </c>
      <c r="K14" s="568">
        <v>101.8</v>
      </c>
      <c r="L14" s="568">
        <v>104.7</v>
      </c>
      <c r="M14" s="569">
        <f>+App23!N29</f>
        <v>106.9</v>
      </c>
      <c r="N14" s="569">
        <f>+App23!O29</f>
        <v>108.65316</v>
      </c>
      <c r="O14" s="569">
        <f>+App23!P29</f>
        <v>110.8262232</v>
      </c>
      <c r="P14" s="568"/>
      <c r="Q14" s="568"/>
      <c r="R14" s="568"/>
      <c r="T14" s="565">
        <v>107.13951</v>
      </c>
      <c r="U14" s="565">
        <v>109.49657922</v>
      </c>
      <c r="V14" s="565">
        <v>111.6865108044</v>
      </c>
      <c r="X14" s="565">
        <f t="shared" si="0"/>
        <v>0.23950999999999567</v>
      </c>
      <c r="Y14" s="565">
        <f t="shared" si="1"/>
        <v>0.8434192200000012</v>
      </c>
      <c r="Z14" s="565">
        <f t="shared" si="2"/>
        <v>0.8602876043999999</v>
      </c>
    </row>
    <row r="15" spans="1:26" ht="12.75">
      <c r="A15" s="565" t="s">
        <v>699</v>
      </c>
      <c r="B15" s="565" t="s">
        <v>488</v>
      </c>
      <c r="C15" s="566" t="s">
        <v>635</v>
      </c>
      <c r="D15" s="565" t="s">
        <v>443</v>
      </c>
      <c r="E15" s="565" t="s">
        <v>444</v>
      </c>
      <c r="F15" s="568">
        <v>95</v>
      </c>
      <c r="G15" s="568">
        <v>97.3</v>
      </c>
      <c r="H15" s="568">
        <v>99.2</v>
      </c>
      <c r="I15" s="568">
        <v>99.9</v>
      </c>
      <c r="J15" s="568">
        <v>100.4</v>
      </c>
      <c r="K15" s="568">
        <v>102.2</v>
      </c>
      <c r="L15" s="568">
        <v>105</v>
      </c>
      <c r="M15" s="569">
        <f>+App23!N30</f>
        <v>107.1</v>
      </c>
      <c r="N15" s="569">
        <f>+App23!O30</f>
        <v>108.95283</v>
      </c>
      <c r="O15" s="569">
        <f>+App23!P30</f>
        <v>111.1318866</v>
      </c>
      <c r="P15" s="568"/>
      <c r="Q15" s="568"/>
      <c r="R15" s="568"/>
      <c r="T15" s="565">
        <v>107.4885</v>
      </c>
      <c r="U15" s="565">
        <v>109.79950275</v>
      </c>
      <c r="V15" s="565">
        <v>111.995492805</v>
      </c>
      <c r="X15" s="565">
        <f t="shared" si="0"/>
        <v>0.3885000000000076</v>
      </c>
      <c r="Y15" s="565">
        <f t="shared" si="1"/>
        <v>0.8466727499999962</v>
      </c>
      <c r="Z15" s="565">
        <f t="shared" si="2"/>
        <v>0.8636062049999964</v>
      </c>
    </row>
    <row r="16" spans="1:26" ht="12.75">
      <c r="A16" s="565" t="s">
        <v>699</v>
      </c>
      <c r="B16" s="565" t="s">
        <v>489</v>
      </c>
      <c r="C16" s="566" t="s">
        <v>636</v>
      </c>
      <c r="D16" s="565" t="s">
        <v>443</v>
      </c>
      <c r="E16" s="565" t="s">
        <v>444</v>
      </c>
      <c r="F16" s="568">
        <v>94.7</v>
      </c>
      <c r="G16" s="568">
        <v>97</v>
      </c>
      <c r="H16" s="568">
        <v>98.7</v>
      </c>
      <c r="I16" s="568">
        <v>99.2</v>
      </c>
      <c r="J16" s="568">
        <v>99.9</v>
      </c>
      <c r="K16" s="568">
        <v>101.8</v>
      </c>
      <c r="L16" s="568">
        <v>104.5</v>
      </c>
      <c r="M16" s="569">
        <f>+App23!N31</f>
        <v>106.4</v>
      </c>
      <c r="N16" s="569">
        <f>+App23!O31</f>
        <v>108.69824000000001</v>
      </c>
      <c r="O16" s="569">
        <f>+App23!P31</f>
        <v>110.87220480000002</v>
      </c>
      <c r="P16" s="568"/>
      <c r="Q16" s="568"/>
      <c r="R16" s="568"/>
      <c r="T16" s="565">
        <v>107.057665618</v>
      </c>
      <c r="U16" s="565">
        <v>109.305876595978</v>
      </c>
      <c r="V16" s="565">
        <v>111.491994127898</v>
      </c>
      <c r="X16" s="565">
        <f t="shared" si="0"/>
        <v>0.6576656179999958</v>
      </c>
      <c r="Y16" s="565">
        <f t="shared" si="1"/>
        <v>0.6076365959779935</v>
      </c>
      <c r="Z16" s="565">
        <f t="shared" si="2"/>
        <v>0.6197893278979762</v>
      </c>
    </row>
    <row r="17" spans="1:26" ht="12.75">
      <c r="A17" s="565" t="s">
        <v>699</v>
      </c>
      <c r="B17" s="565" t="s">
        <v>490</v>
      </c>
      <c r="C17" s="566" t="s">
        <v>637</v>
      </c>
      <c r="D17" s="565" t="s">
        <v>443</v>
      </c>
      <c r="E17" s="565" t="s">
        <v>444</v>
      </c>
      <c r="F17" s="568">
        <v>95.2</v>
      </c>
      <c r="G17" s="568">
        <v>97.5</v>
      </c>
      <c r="H17" s="568">
        <v>99.1</v>
      </c>
      <c r="I17" s="568">
        <v>99.5</v>
      </c>
      <c r="J17" s="568">
        <v>100.1</v>
      </c>
      <c r="K17" s="568">
        <v>102.4</v>
      </c>
      <c r="L17" s="568">
        <v>104.9</v>
      </c>
      <c r="M17" s="569">
        <f>+App23!N32</f>
        <v>106.8</v>
      </c>
      <c r="N17" s="569">
        <f>+App23!O32</f>
        <v>108.88260000000001</v>
      </c>
      <c r="O17" s="569">
        <f>+App23!P32</f>
        <v>111.06025200000002</v>
      </c>
      <c r="P17" s="568"/>
      <c r="Q17" s="568"/>
      <c r="R17" s="568"/>
      <c r="T17" s="565">
        <v>107.55244032</v>
      </c>
      <c r="U17" s="565">
        <v>109.81104156672</v>
      </c>
      <c r="V17" s="565">
        <v>112.007262398054</v>
      </c>
      <c r="X17" s="565">
        <f t="shared" si="0"/>
        <v>0.7524403200000052</v>
      </c>
      <c r="Y17" s="565">
        <f t="shared" si="1"/>
        <v>0.9284415667199823</v>
      </c>
      <c r="Z17" s="565">
        <f t="shared" si="2"/>
        <v>0.9470103980539761</v>
      </c>
    </row>
    <row r="18" spans="1:26" ht="12.75">
      <c r="A18" s="565" t="s">
        <v>699</v>
      </c>
      <c r="B18" s="565" t="s">
        <v>491</v>
      </c>
      <c r="C18" s="566" t="s">
        <v>638</v>
      </c>
      <c r="D18" s="565" t="s">
        <v>443</v>
      </c>
      <c r="E18" s="565" t="s">
        <v>444</v>
      </c>
      <c r="F18" s="568">
        <v>95.4</v>
      </c>
      <c r="G18" s="568">
        <v>97.8</v>
      </c>
      <c r="H18" s="568">
        <v>99.3</v>
      </c>
      <c r="I18" s="568">
        <v>99.6</v>
      </c>
      <c r="J18" s="568">
        <v>100.4</v>
      </c>
      <c r="K18" s="568">
        <v>102.7</v>
      </c>
      <c r="L18" s="568">
        <v>105.1</v>
      </c>
      <c r="M18" s="569">
        <f>+App23!N33</f>
        <v>107.02332999999999</v>
      </c>
      <c r="N18" s="569">
        <f>+App23!O33</f>
        <v>109.088880269</v>
      </c>
      <c r="O18" s="569">
        <f>+App23!P33</f>
        <v>111.27065787438</v>
      </c>
      <c r="P18" s="568"/>
      <c r="Q18" s="568"/>
      <c r="R18" s="568"/>
      <c r="T18" s="565">
        <v>107.857058933</v>
      </c>
      <c r="U18" s="565">
        <v>110.122057170593</v>
      </c>
      <c r="V18" s="565">
        <v>112.324498314005</v>
      </c>
      <c r="X18" s="565">
        <f t="shared" si="0"/>
        <v>0.8337289330000175</v>
      </c>
      <c r="Y18" s="565">
        <f t="shared" si="1"/>
        <v>1.033176901592995</v>
      </c>
      <c r="Z18" s="565">
        <f t="shared" si="2"/>
        <v>1.0538404396249916</v>
      </c>
    </row>
    <row r="19" spans="1:26" ht="12.75">
      <c r="A19" s="565" t="s">
        <v>699</v>
      </c>
      <c r="B19" s="565" t="s">
        <v>445</v>
      </c>
      <c r="C19" s="566" t="s">
        <v>182</v>
      </c>
      <c r="D19" s="565" t="s">
        <v>443</v>
      </c>
      <c r="E19" s="565" t="s">
        <v>444</v>
      </c>
      <c r="F19" s="568">
        <v>234.4</v>
      </c>
      <c r="G19" s="568">
        <v>242.5</v>
      </c>
      <c r="H19" s="568">
        <v>249.5</v>
      </c>
      <c r="I19" s="568">
        <v>255.7</v>
      </c>
      <c r="J19" s="568">
        <v>258</v>
      </c>
      <c r="K19" s="568">
        <v>261.4</v>
      </c>
      <c r="L19" s="568">
        <v>270.6</v>
      </c>
      <c r="M19" s="569">
        <f>+App23!N7</f>
        <v>279.7</v>
      </c>
      <c r="N19" s="569">
        <f>+App23!O7</f>
        <v>287.6</v>
      </c>
      <c r="O19" s="569">
        <f>+App23!P7</f>
        <v>296.228</v>
      </c>
      <c r="P19" s="568"/>
      <c r="Q19" s="568"/>
      <c r="R19" s="568"/>
      <c r="T19" s="565">
        <v>279.8</v>
      </c>
      <c r="U19" s="565">
        <v>288.4</v>
      </c>
      <c r="V19" s="565">
        <v>297.052</v>
      </c>
      <c r="X19" s="565">
        <f t="shared" si="0"/>
        <v>0.10000000000002274</v>
      </c>
      <c r="Y19" s="565">
        <f t="shared" si="1"/>
        <v>0.7999999999999545</v>
      </c>
      <c r="Z19" s="565">
        <f t="shared" si="2"/>
        <v>0.8240000000000123</v>
      </c>
    </row>
    <row r="20" spans="1:26" ht="12.75">
      <c r="A20" s="565" t="s">
        <v>699</v>
      </c>
      <c r="B20" s="565" t="s">
        <v>446</v>
      </c>
      <c r="C20" s="566" t="s">
        <v>183</v>
      </c>
      <c r="D20" s="565" t="s">
        <v>443</v>
      </c>
      <c r="E20" s="565" t="s">
        <v>444</v>
      </c>
      <c r="F20" s="568">
        <v>235.2</v>
      </c>
      <c r="G20" s="568">
        <v>242.4</v>
      </c>
      <c r="H20" s="568">
        <v>250</v>
      </c>
      <c r="I20" s="568">
        <v>255.9</v>
      </c>
      <c r="J20" s="568">
        <v>258.5</v>
      </c>
      <c r="K20" s="568">
        <v>262.1</v>
      </c>
      <c r="L20" s="568">
        <v>271.7</v>
      </c>
      <c r="M20" s="569">
        <f>+App23!N8</f>
        <v>280.7</v>
      </c>
      <c r="N20" s="569">
        <f>+App23!O8</f>
        <v>288.3</v>
      </c>
      <c r="O20" s="569">
        <f>+App23!P8</f>
        <v>296.949</v>
      </c>
      <c r="P20" s="568"/>
      <c r="Q20" s="568"/>
      <c r="R20" s="568"/>
      <c r="T20" s="565">
        <v>280.8</v>
      </c>
      <c r="U20" s="565">
        <v>289.3</v>
      </c>
      <c r="V20" s="565">
        <v>297.979</v>
      </c>
      <c r="X20" s="565">
        <f t="shared" si="0"/>
        <v>0.10000000000002274</v>
      </c>
      <c r="Y20" s="565">
        <f t="shared" si="1"/>
        <v>1</v>
      </c>
      <c r="Z20" s="565">
        <f t="shared" si="2"/>
        <v>1.0299999999999727</v>
      </c>
    </row>
    <row r="21" spans="1:26" ht="12.75">
      <c r="A21" s="565" t="s">
        <v>699</v>
      </c>
      <c r="B21" s="565" t="s">
        <v>447</v>
      </c>
      <c r="C21" s="566" t="s">
        <v>184</v>
      </c>
      <c r="D21" s="565" t="s">
        <v>443</v>
      </c>
      <c r="E21" s="565" t="s">
        <v>444</v>
      </c>
      <c r="F21" s="568">
        <v>235.2</v>
      </c>
      <c r="G21" s="568">
        <v>241.8</v>
      </c>
      <c r="H21" s="568">
        <v>249.7</v>
      </c>
      <c r="I21" s="568">
        <v>256.3</v>
      </c>
      <c r="J21" s="568">
        <v>258.9</v>
      </c>
      <c r="K21" s="568">
        <v>263.1</v>
      </c>
      <c r="L21" s="568">
        <v>272.3</v>
      </c>
      <c r="M21" s="569">
        <f>+App23!N9</f>
        <v>281.5</v>
      </c>
      <c r="N21" s="569">
        <f>+App23!O9</f>
        <v>289.1</v>
      </c>
      <c r="O21" s="569">
        <f>+App23!P9</f>
        <v>297.773</v>
      </c>
      <c r="P21" s="568"/>
      <c r="Q21" s="568"/>
      <c r="R21" s="568"/>
      <c r="T21" s="565">
        <v>281.8</v>
      </c>
      <c r="U21" s="565">
        <v>290.2</v>
      </c>
      <c r="V21" s="565">
        <v>298.906</v>
      </c>
      <c r="X21" s="565">
        <f t="shared" si="0"/>
        <v>0.30000000000001137</v>
      </c>
      <c r="Y21" s="565">
        <f t="shared" si="1"/>
        <v>1.099999999999966</v>
      </c>
      <c r="Z21" s="565">
        <f t="shared" si="2"/>
        <v>1.1329999999999814</v>
      </c>
    </row>
    <row r="22" spans="1:26" ht="12.75">
      <c r="A22" s="565" t="s">
        <v>699</v>
      </c>
      <c r="B22" s="565" t="s">
        <v>448</v>
      </c>
      <c r="C22" s="566" t="s">
        <v>185</v>
      </c>
      <c r="D22" s="565" t="s">
        <v>443</v>
      </c>
      <c r="E22" s="565" t="s">
        <v>444</v>
      </c>
      <c r="F22" s="568">
        <v>234.7</v>
      </c>
      <c r="G22" s="568">
        <v>242.1</v>
      </c>
      <c r="H22" s="568">
        <v>249.7</v>
      </c>
      <c r="I22" s="568">
        <v>256</v>
      </c>
      <c r="J22" s="568">
        <v>258.6</v>
      </c>
      <c r="K22" s="568">
        <v>263.4</v>
      </c>
      <c r="L22" s="568">
        <v>272.9</v>
      </c>
      <c r="M22" s="569">
        <f>+App23!N10</f>
        <v>281.7</v>
      </c>
      <c r="N22" s="569">
        <f>+App23!O10</f>
        <v>289.2</v>
      </c>
      <c r="O22" s="569">
        <f>+App23!P10</f>
        <v>297.876</v>
      </c>
      <c r="P22" s="568"/>
      <c r="Q22" s="568"/>
      <c r="R22" s="568"/>
      <c r="T22" s="565">
        <v>282.2</v>
      </c>
      <c r="U22" s="565">
        <v>290.7</v>
      </c>
      <c r="V22" s="565">
        <v>299.421</v>
      </c>
      <c r="X22" s="565">
        <f t="shared" si="0"/>
        <v>0.5</v>
      </c>
      <c r="Y22" s="565">
        <f t="shared" si="1"/>
        <v>1.5</v>
      </c>
      <c r="Z22" s="565">
        <f t="shared" si="2"/>
        <v>1.545000000000016</v>
      </c>
    </row>
    <row r="23" spans="1:26" ht="12.75">
      <c r="A23" s="565" t="s">
        <v>699</v>
      </c>
      <c r="B23" s="565" t="s">
        <v>449</v>
      </c>
      <c r="C23" s="566" t="s">
        <v>186</v>
      </c>
      <c r="D23" s="565" t="s">
        <v>443</v>
      </c>
      <c r="E23" s="565" t="s">
        <v>444</v>
      </c>
      <c r="F23" s="568">
        <v>236.1</v>
      </c>
      <c r="G23" s="568">
        <v>243</v>
      </c>
      <c r="H23" s="568">
        <v>251</v>
      </c>
      <c r="I23" s="568">
        <v>257</v>
      </c>
      <c r="J23" s="568">
        <v>259.8</v>
      </c>
      <c r="K23" s="568">
        <v>264.4</v>
      </c>
      <c r="L23" s="568">
        <v>274.7</v>
      </c>
      <c r="M23" s="569">
        <f>+App23!N11</f>
        <v>284.2</v>
      </c>
      <c r="N23" s="569">
        <f>+App23!O11</f>
        <v>291.3</v>
      </c>
      <c r="O23" s="569">
        <f>+App23!P11</f>
        <v>300.03900000000004</v>
      </c>
      <c r="P23" s="568"/>
      <c r="Q23" s="568"/>
      <c r="R23" s="568"/>
      <c r="T23" s="565">
        <v>283.8</v>
      </c>
      <c r="U23" s="565">
        <v>292.2</v>
      </c>
      <c r="V23" s="565">
        <v>300.966</v>
      </c>
      <c r="X23" s="565">
        <f t="shared" si="0"/>
        <v>-0.39999999999997726</v>
      </c>
      <c r="Y23" s="565">
        <f t="shared" si="1"/>
        <v>0.8999999999999773</v>
      </c>
      <c r="Z23" s="565">
        <f t="shared" si="2"/>
        <v>0.9269999999999641</v>
      </c>
    </row>
    <row r="24" spans="1:26" ht="12.75">
      <c r="A24" s="565" t="s">
        <v>699</v>
      </c>
      <c r="B24" s="565" t="s">
        <v>450</v>
      </c>
      <c r="C24" s="566" t="s">
        <v>187</v>
      </c>
      <c r="D24" s="565" t="s">
        <v>443</v>
      </c>
      <c r="E24" s="565" t="s">
        <v>444</v>
      </c>
      <c r="F24" s="568">
        <v>237.9</v>
      </c>
      <c r="G24" s="568">
        <v>244.2</v>
      </c>
      <c r="H24" s="568">
        <v>251.9</v>
      </c>
      <c r="I24" s="568">
        <v>257.6</v>
      </c>
      <c r="J24" s="568">
        <v>259.6</v>
      </c>
      <c r="K24" s="568">
        <v>264.9</v>
      </c>
      <c r="L24" s="568">
        <v>275.1</v>
      </c>
      <c r="M24" s="569">
        <f>+App23!N12</f>
        <v>284.1</v>
      </c>
      <c r="N24" s="569">
        <f>+App23!O12</f>
        <v>291.2</v>
      </c>
      <c r="O24" s="569">
        <f>+App23!P12</f>
        <v>299.936</v>
      </c>
      <c r="P24" s="568"/>
      <c r="Q24" s="568"/>
      <c r="R24" s="568"/>
      <c r="T24" s="565">
        <v>284</v>
      </c>
      <c r="U24" s="565">
        <v>292.5</v>
      </c>
      <c r="V24" s="565">
        <v>301.275</v>
      </c>
      <c r="X24" s="565">
        <f t="shared" si="0"/>
        <v>-0.10000000000002274</v>
      </c>
      <c r="Y24" s="565">
        <f t="shared" si="1"/>
        <v>1.3000000000000114</v>
      </c>
      <c r="Z24" s="565">
        <f t="shared" si="2"/>
        <v>1.3389999999999986</v>
      </c>
    </row>
    <row r="25" spans="1:26" ht="12.75">
      <c r="A25" s="565" t="s">
        <v>699</v>
      </c>
      <c r="B25" s="565" t="s">
        <v>451</v>
      </c>
      <c r="C25" s="566" t="s">
        <v>188</v>
      </c>
      <c r="D25" s="565" t="s">
        <v>443</v>
      </c>
      <c r="E25" s="565" t="s">
        <v>444</v>
      </c>
      <c r="F25" s="568">
        <v>238</v>
      </c>
      <c r="G25" s="568">
        <v>245.6</v>
      </c>
      <c r="H25" s="568">
        <v>251.9</v>
      </c>
      <c r="I25" s="568">
        <v>257.7</v>
      </c>
      <c r="J25" s="568">
        <v>259.5</v>
      </c>
      <c r="K25" s="568">
        <v>264.8</v>
      </c>
      <c r="L25" s="568">
        <v>275.3</v>
      </c>
      <c r="M25" s="569">
        <f>+App23!N13</f>
        <v>284.5</v>
      </c>
      <c r="N25" s="569">
        <f>+App23!O13</f>
        <v>291.1</v>
      </c>
      <c r="O25" s="569">
        <f>+App23!P13</f>
        <v>299.833</v>
      </c>
      <c r="P25" s="568"/>
      <c r="Q25" s="568"/>
      <c r="R25" s="568"/>
      <c r="T25" s="565">
        <v>284.1</v>
      </c>
      <c r="U25" s="565">
        <v>292.7</v>
      </c>
      <c r="V25" s="565">
        <v>301.481</v>
      </c>
      <c r="X25" s="565">
        <f t="shared" si="0"/>
        <v>-0.39999999999997726</v>
      </c>
      <c r="Y25" s="565">
        <f t="shared" si="1"/>
        <v>1.599999999999966</v>
      </c>
      <c r="Z25" s="565">
        <f t="shared" si="2"/>
        <v>1.6479999999999677</v>
      </c>
    </row>
    <row r="26" spans="1:26" ht="12.75">
      <c r="A26" s="565" t="s">
        <v>699</v>
      </c>
      <c r="B26" s="565" t="s">
        <v>452</v>
      </c>
      <c r="C26" s="566" t="s">
        <v>189</v>
      </c>
      <c r="D26" s="565" t="s">
        <v>443</v>
      </c>
      <c r="E26" s="565" t="s">
        <v>444</v>
      </c>
      <c r="F26" s="568">
        <v>238.5</v>
      </c>
      <c r="G26" s="568">
        <v>245.6</v>
      </c>
      <c r="H26" s="568">
        <v>252.1</v>
      </c>
      <c r="I26" s="568">
        <v>257.1</v>
      </c>
      <c r="J26" s="568">
        <v>259.8</v>
      </c>
      <c r="K26" s="568">
        <v>265.5</v>
      </c>
      <c r="L26" s="568">
        <v>275.8</v>
      </c>
      <c r="M26" s="569">
        <f>+App23!N14</f>
        <v>284.6</v>
      </c>
      <c r="N26" s="569">
        <f>+App23!O14</f>
        <v>291.2</v>
      </c>
      <c r="O26" s="569">
        <f>+App23!P14</f>
        <v>299.936</v>
      </c>
      <c r="P26" s="568"/>
      <c r="Q26" s="568"/>
      <c r="R26" s="568"/>
      <c r="T26" s="565">
        <v>284.4</v>
      </c>
      <c r="U26" s="565">
        <v>293</v>
      </c>
      <c r="V26" s="565">
        <v>301.79</v>
      </c>
      <c r="X26" s="565">
        <f t="shared" si="0"/>
        <v>-0.20000000000004547</v>
      </c>
      <c r="Y26" s="565">
        <f t="shared" si="1"/>
        <v>1.8000000000000114</v>
      </c>
      <c r="Z26" s="565">
        <f t="shared" si="2"/>
        <v>1.8540000000000418</v>
      </c>
    </row>
    <row r="27" spans="1:26" ht="12.75">
      <c r="A27" s="565" t="s">
        <v>699</v>
      </c>
      <c r="B27" s="565" t="s">
        <v>453</v>
      </c>
      <c r="C27" s="566" t="s">
        <v>190</v>
      </c>
      <c r="D27" s="565" t="s">
        <v>443</v>
      </c>
      <c r="E27" s="565" t="s">
        <v>444</v>
      </c>
      <c r="F27" s="568">
        <v>239.4</v>
      </c>
      <c r="G27" s="568">
        <v>246.8</v>
      </c>
      <c r="H27" s="568">
        <v>253.4</v>
      </c>
      <c r="I27" s="568">
        <v>257.5</v>
      </c>
      <c r="J27" s="568">
        <v>260.6</v>
      </c>
      <c r="K27" s="568">
        <v>267.1</v>
      </c>
      <c r="L27" s="568">
        <v>278.1</v>
      </c>
      <c r="M27" s="569">
        <f>+App23!N15</f>
        <v>285.6</v>
      </c>
      <c r="N27" s="569">
        <f>+App23!O15</f>
        <v>292.8</v>
      </c>
      <c r="O27" s="569">
        <f>+App23!P15</f>
        <v>301.584</v>
      </c>
      <c r="P27" s="568"/>
      <c r="Q27" s="568"/>
      <c r="R27" s="568"/>
      <c r="T27" s="565">
        <v>286.5</v>
      </c>
      <c r="U27" s="565">
        <v>295.1</v>
      </c>
      <c r="V27" s="565">
        <v>303.953</v>
      </c>
      <c r="X27" s="565">
        <f t="shared" si="0"/>
        <v>0.8999999999999773</v>
      </c>
      <c r="Y27" s="565">
        <f t="shared" si="1"/>
        <v>2.3000000000000114</v>
      </c>
      <c r="Z27" s="565">
        <f t="shared" si="2"/>
        <v>2.3689999999999714</v>
      </c>
    </row>
    <row r="28" spans="1:26" ht="12.75">
      <c r="A28" s="565" t="s">
        <v>699</v>
      </c>
      <c r="B28" s="565" t="s">
        <v>454</v>
      </c>
      <c r="C28" s="566" t="s">
        <v>191</v>
      </c>
      <c r="D28" s="565" t="s">
        <v>443</v>
      </c>
      <c r="E28" s="565" t="s">
        <v>444</v>
      </c>
      <c r="F28" s="568">
        <v>238</v>
      </c>
      <c r="G28" s="568">
        <v>245.8</v>
      </c>
      <c r="H28" s="568">
        <v>252.6</v>
      </c>
      <c r="I28" s="568">
        <v>255.4</v>
      </c>
      <c r="J28" s="568">
        <v>258.8</v>
      </c>
      <c r="K28" s="568">
        <v>265.5</v>
      </c>
      <c r="L28" s="568">
        <v>276</v>
      </c>
      <c r="M28" s="569">
        <f>+App23!N16</f>
        <v>283</v>
      </c>
      <c r="N28" s="569">
        <f>+App23!O16</f>
        <v>290.7</v>
      </c>
      <c r="O28" s="569">
        <f>+App23!P16</f>
        <v>299.421</v>
      </c>
      <c r="P28" s="568"/>
      <c r="Q28" s="568"/>
      <c r="R28" s="568"/>
      <c r="T28" s="565">
        <v>284.4</v>
      </c>
      <c r="U28" s="565">
        <v>293.2164</v>
      </c>
      <c r="V28" s="565">
        <v>302.012892</v>
      </c>
      <c r="X28" s="565">
        <f t="shared" si="0"/>
        <v>1.3999999999999773</v>
      </c>
      <c r="Y28" s="565">
        <f t="shared" si="1"/>
        <v>2.516400000000033</v>
      </c>
      <c r="Z28" s="565">
        <f t="shared" si="2"/>
        <v>2.59189200000003</v>
      </c>
    </row>
    <row r="29" spans="1:26" ht="12.75">
      <c r="A29" s="565" t="s">
        <v>699</v>
      </c>
      <c r="B29" s="565" t="s">
        <v>455</v>
      </c>
      <c r="C29" s="566" t="s">
        <v>192</v>
      </c>
      <c r="D29" s="565" t="s">
        <v>443</v>
      </c>
      <c r="E29" s="565" t="s">
        <v>444</v>
      </c>
      <c r="F29" s="568">
        <v>239.9</v>
      </c>
      <c r="G29" s="568">
        <v>247.6</v>
      </c>
      <c r="H29" s="568">
        <v>254.2</v>
      </c>
      <c r="I29" s="568">
        <v>256.7</v>
      </c>
      <c r="J29" s="568">
        <v>260</v>
      </c>
      <c r="K29" s="568">
        <v>268.4</v>
      </c>
      <c r="L29" s="568">
        <v>278.1</v>
      </c>
      <c r="M29" s="569">
        <f>+App23!N17</f>
        <v>285</v>
      </c>
      <c r="N29" s="569">
        <f>+App23!O17</f>
        <v>292.8</v>
      </c>
      <c r="O29" s="569">
        <f>+App23!P17</f>
        <v>301.584</v>
      </c>
      <c r="P29" s="568"/>
      <c r="Q29" s="568"/>
      <c r="R29" s="568"/>
      <c r="T29" s="565">
        <v>286.5</v>
      </c>
      <c r="U29" s="565">
        <v>295.3815</v>
      </c>
      <c r="V29" s="565">
        <v>304.242945</v>
      </c>
      <c r="X29" s="565">
        <f t="shared" si="0"/>
        <v>1.5</v>
      </c>
      <c r="Y29" s="565">
        <f t="shared" si="1"/>
        <v>2.5815000000000055</v>
      </c>
      <c r="Z29" s="565">
        <f t="shared" si="2"/>
        <v>2.658945000000017</v>
      </c>
    </row>
    <row r="30" spans="1:26" ht="12.75">
      <c r="A30" s="565" t="s">
        <v>699</v>
      </c>
      <c r="B30" s="565" t="s">
        <v>456</v>
      </c>
      <c r="C30" s="566" t="s">
        <v>193</v>
      </c>
      <c r="D30" s="565" t="s">
        <v>443</v>
      </c>
      <c r="E30" s="565" t="s">
        <v>444</v>
      </c>
      <c r="F30" s="568">
        <v>240.8</v>
      </c>
      <c r="G30" s="568">
        <v>248.7</v>
      </c>
      <c r="H30" s="568">
        <v>254.8</v>
      </c>
      <c r="I30" s="568">
        <v>257.1</v>
      </c>
      <c r="J30" s="568">
        <v>261.1</v>
      </c>
      <c r="K30" s="568">
        <v>269.3</v>
      </c>
      <c r="L30" s="568">
        <v>278.3</v>
      </c>
      <c r="M30" s="569">
        <f>+App23!N18</f>
        <v>285.1</v>
      </c>
      <c r="N30" s="569">
        <f>+App23!O18</f>
        <v>293.2</v>
      </c>
      <c r="O30" s="569">
        <f>+App23!P18</f>
        <v>301.996</v>
      </c>
      <c r="P30" s="568"/>
      <c r="Q30" s="568"/>
      <c r="R30" s="568"/>
      <c r="T30" s="565">
        <v>287.1</v>
      </c>
      <c r="U30" s="565">
        <v>296.0001</v>
      </c>
      <c r="V30" s="565">
        <v>304.880103</v>
      </c>
      <c r="X30" s="565">
        <f t="shared" si="0"/>
        <v>2</v>
      </c>
      <c r="Y30" s="565">
        <f t="shared" si="1"/>
        <v>2.8000999999999863</v>
      </c>
      <c r="Z30" s="565">
        <f t="shared" si="2"/>
        <v>2.8841030000000387</v>
      </c>
    </row>
    <row r="31" spans="1:18" ht="25.5">
      <c r="A31" s="565" t="s">
        <v>699</v>
      </c>
      <c r="B31" s="565" t="s">
        <v>492</v>
      </c>
      <c r="C31" s="566" t="s">
        <v>639</v>
      </c>
      <c r="D31" s="565" t="s">
        <v>206</v>
      </c>
      <c r="E31" s="565" t="s">
        <v>444</v>
      </c>
      <c r="F31" s="570"/>
      <c r="G31" s="570"/>
      <c r="H31" s="570"/>
      <c r="I31" s="570"/>
      <c r="J31" s="570"/>
      <c r="K31" s="570"/>
      <c r="L31" s="570"/>
      <c r="M31" s="570"/>
      <c r="N31" s="570"/>
      <c r="O31" s="570"/>
      <c r="P31" s="570"/>
      <c r="Q31" s="570"/>
      <c r="R31" s="570"/>
    </row>
    <row r="32" spans="1:18" ht="12.75">
      <c r="A32" s="565" t="s">
        <v>699</v>
      </c>
      <c r="B32" s="565" t="s">
        <v>476</v>
      </c>
      <c r="C32" s="566" t="s">
        <v>640</v>
      </c>
      <c r="D32" s="565" t="s">
        <v>206</v>
      </c>
      <c r="E32" s="565" t="s">
        <v>444</v>
      </c>
      <c r="F32" s="570"/>
      <c r="G32" s="570"/>
      <c r="H32" s="570"/>
      <c r="I32" s="570"/>
      <c r="J32" s="570"/>
      <c r="K32" s="570"/>
      <c r="L32" s="570"/>
      <c r="M32" s="570"/>
      <c r="N32" s="570"/>
      <c r="O32" s="570"/>
      <c r="P32" s="570">
        <v>3.02930223534782</v>
      </c>
      <c r="Q32" s="570"/>
      <c r="R32" s="570"/>
    </row>
    <row r="33" spans="1:18" ht="12.75">
      <c r="A33" s="565" t="s">
        <v>699</v>
      </c>
      <c r="B33" s="565" t="s">
        <v>477</v>
      </c>
      <c r="C33" s="566" t="s">
        <v>641</v>
      </c>
      <c r="D33" s="565" t="s">
        <v>206</v>
      </c>
      <c r="E33" s="565" t="s">
        <v>444</v>
      </c>
      <c r="F33" s="570"/>
      <c r="G33" s="570"/>
      <c r="H33" s="570"/>
      <c r="I33" s="570"/>
      <c r="J33" s="570"/>
      <c r="K33" s="570"/>
      <c r="L33" s="570"/>
      <c r="M33" s="570"/>
      <c r="N33" s="570"/>
      <c r="O33" s="570"/>
      <c r="P33" s="570">
        <v>-40.0099985029751</v>
      </c>
      <c r="Q33" s="570"/>
      <c r="R33" s="570"/>
    </row>
    <row r="34" spans="1:18" ht="25.5">
      <c r="A34" s="565" t="s">
        <v>699</v>
      </c>
      <c r="B34" s="565" t="s">
        <v>468</v>
      </c>
      <c r="C34" s="566" t="s">
        <v>210</v>
      </c>
      <c r="D34" s="565" t="s">
        <v>206</v>
      </c>
      <c r="E34" s="565" t="s">
        <v>444</v>
      </c>
      <c r="F34" s="571"/>
      <c r="G34" s="571"/>
      <c r="H34" s="571"/>
      <c r="I34" s="571"/>
      <c r="J34" s="572">
        <v>0</v>
      </c>
      <c r="K34" s="572">
        <v>0</v>
      </c>
      <c r="L34" s="572">
        <v>0</v>
      </c>
      <c r="M34" s="572">
        <v>0</v>
      </c>
      <c r="N34" s="572">
        <v>0</v>
      </c>
      <c r="O34" s="572"/>
      <c r="P34" s="572"/>
      <c r="Q34" s="572"/>
      <c r="R34" s="572">
        <v>0</v>
      </c>
    </row>
    <row r="35" spans="1:18" ht="25.5">
      <c r="A35" s="565" t="s">
        <v>699</v>
      </c>
      <c r="B35" s="565" t="s">
        <v>469</v>
      </c>
      <c r="C35" s="566" t="s">
        <v>211</v>
      </c>
      <c r="D35" s="565" t="s">
        <v>206</v>
      </c>
      <c r="E35" s="565" t="s">
        <v>444</v>
      </c>
      <c r="F35" s="573"/>
      <c r="G35" s="573"/>
      <c r="H35" s="573"/>
      <c r="I35" s="573"/>
      <c r="J35" s="572">
        <v>0</v>
      </c>
      <c r="K35" s="572">
        <v>0</v>
      </c>
      <c r="L35" s="572">
        <v>0</v>
      </c>
      <c r="M35" s="572">
        <v>0</v>
      </c>
      <c r="N35" s="572">
        <v>0</v>
      </c>
      <c r="O35" s="572"/>
      <c r="P35" s="572"/>
      <c r="Q35" s="572"/>
      <c r="R35" s="572">
        <v>0</v>
      </c>
    </row>
    <row r="36" spans="1:28" ht="12.75">
      <c r="A36" s="565" t="s">
        <v>699</v>
      </c>
      <c r="B36" s="565" t="s">
        <v>474</v>
      </c>
      <c r="C36" s="566" t="s">
        <v>212</v>
      </c>
      <c r="D36" s="565" t="s">
        <v>206</v>
      </c>
      <c r="E36" s="565" t="s">
        <v>444</v>
      </c>
      <c r="F36" s="570"/>
      <c r="G36" s="570"/>
      <c r="H36" s="570"/>
      <c r="I36" s="570"/>
      <c r="J36" s="570"/>
      <c r="K36" s="570"/>
      <c r="L36" s="570"/>
      <c r="M36" s="570"/>
      <c r="N36" s="577">
        <v>45.136</v>
      </c>
      <c r="O36" s="570"/>
      <c r="P36" s="570"/>
      <c r="Q36" s="570"/>
      <c r="R36" s="570"/>
      <c r="U36" s="565">
        <v>32.7711548778675</v>
      </c>
      <c r="Y36" s="565">
        <f aca="true" t="shared" si="3" ref="Y36:Y53">+U36-N36</f>
        <v>-12.3648451221325</v>
      </c>
      <c r="AB36" s="96" t="s">
        <v>820</v>
      </c>
    </row>
    <row r="37" spans="1:25" ht="25.5">
      <c r="A37" s="565" t="s">
        <v>699</v>
      </c>
      <c r="B37" s="565" t="s">
        <v>493</v>
      </c>
      <c r="C37" s="566" t="s">
        <v>642</v>
      </c>
      <c r="D37" s="565" t="s">
        <v>206</v>
      </c>
      <c r="E37" s="565" t="s">
        <v>444</v>
      </c>
      <c r="F37" s="570"/>
      <c r="G37" s="570"/>
      <c r="H37" s="570"/>
      <c r="I37" s="570"/>
      <c r="J37" s="570"/>
      <c r="K37" s="570"/>
      <c r="L37" s="570"/>
      <c r="M37" s="570"/>
      <c r="N37" s="570"/>
      <c r="O37" s="570"/>
      <c r="P37" s="570"/>
      <c r="Q37" s="570"/>
      <c r="R37" s="570"/>
      <c r="Y37" s="565">
        <f t="shared" si="3"/>
        <v>0</v>
      </c>
    </row>
    <row r="38" spans="1:28" ht="12.75">
      <c r="A38" s="565" t="s">
        <v>699</v>
      </c>
      <c r="B38" s="565" t="s">
        <v>472</v>
      </c>
      <c r="C38" s="566" t="s">
        <v>643</v>
      </c>
      <c r="D38" s="565" t="s">
        <v>206</v>
      </c>
      <c r="E38" s="565" t="s">
        <v>444</v>
      </c>
      <c r="F38" s="570"/>
      <c r="G38" s="570"/>
      <c r="H38" s="570"/>
      <c r="I38" s="570"/>
      <c r="J38" s="570"/>
      <c r="K38" s="570"/>
      <c r="L38" s="570"/>
      <c r="M38" s="570"/>
      <c r="N38" s="577">
        <v>-1.491</v>
      </c>
      <c r="O38" s="570"/>
      <c r="P38" s="570"/>
      <c r="Q38" s="570"/>
      <c r="R38" s="570"/>
      <c r="U38" s="565">
        <v>-1.25178268251704</v>
      </c>
      <c r="Y38" s="565">
        <f t="shared" si="3"/>
        <v>0.23921731748296016</v>
      </c>
      <c r="AB38" s="96" t="s">
        <v>822</v>
      </c>
    </row>
    <row r="39" spans="1:25" ht="12.75">
      <c r="A39" s="565" t="s">
        <v>699</v>
      </c>
      <c r="B39" s="565" t="s">
        <v>503</v>
      </c>
      <c r="C39" s="566" t="s">
        <v>644</v>
      </c>
      <c r="D39" s="565" t="s">
        <v>180</v>
      </c>
      <c r="E39" s="565" t="s">
        <v>444</v>
      </c>
      <c r="F39" s="574"/>
      <c r="G39" s="574"/>
      <c r="H39" s="574"/>
      <c r="I39" s="574"/>
      <c r="J39" s="574"/>
      <c r="K39" s="574"/>
      <c r="L39" s="574"/>
      <c r="M39" s="574"/>
      <c r="N39" s="574"/>
      <c r="O39" s="574"/>
      <c r="P39" s="574"/>
      <c r="Q39" s="574"/>
      <c r="R39" s="574"/>
      <c r="Y39" s="565">
        <f t="shared" si="3"/>
        <v>0</v>
      </c>
    </row>
    <row r="40" spans="1:25" ht="12.75">
      <c r="A40" s="565" t="s">
        <v>699</v>
      </c>
      <c r="B40" s="565" t="s">
        <v>502</v>
      </c>
      <c r="C40" s="566" t="s">
        <v>645</v>
      </c>
      <c r="D40" s="565" t="s">
        <v>206</v>
      </c>
      <c r="E40" s="565" t="s">
        <v>444</v>
      </c>
      <c r="F40" s="570"/>
      <c r="G40" s="570"/>
      <c r="H40" s="570"/>
      <c r="I40" s="570"/>
      <c r="J40" s="570"/>
      <c r="K40" s="570"/>
      <c r="L40" s="570"/>
      <c r="M40" s="570"/>
      <c r="N40" s="570"/>
      <c r="O40" s="570"/>
      <c r="P40" s="570"/>
      <c r="Q40" s="570"/>
      <c r="R40" s="570"/>
      <c r="Y40" s="565">
        <f t="shared" si="3"/>
        <v>0</v>
      </c>
    </row>
    <row r="41" spans="1:25" ht="12.75">
      <c r="A41" s="565" t="s">
        <v>699</v>
      </c>
      <c r="B41" s="565" t="s">
        <v>501</v>
      </c>
      <c r="C41" s="566" t="s">
        <v>646</v>
      </c>
      <c r="D41" s="565" t="s">
        <v>206</v>
      </c>
      <c r="E41" s="565" t="s">
        <v>444</v>
      </c>
      <c r="F41" s="570"/>
      <c r="G41" s="570"/>
      <c r="H41" s="570"/>
      <c r="I41" s="570"/>
      <c r="J41" s="570"/>
      <c r="K41" s="570"/>
      <c r="L41" s="570"/>
      <c r="M41" s="570"/>
      <c r="N41" s="570"/>
      <c r="O41" s="570"/>
      <c r="P41" s="570"/>
      <c r="Q41" s="570"/>
      <c r="R41" s="570"/>
      <c r="Y41" s="565">
        <f t="shared" si="3"/>
        <v>0</v>
      </c>
    </row>
    <row r="42" spans="1:25" ht="25.5">
      <c r="A42" s="565" t="s">
        <v>699</v>
      </c>
      <c r="B42" s="565" t="s">
        <v>494</v>
      </c>
      <c r="C42" s="566" t="s">
        <v>647</v>
      </c>
      <c r="D42" s="565" t="s">
        <v>206</v>
      </c>
      <c r="E42" s="565" t="s">
        <v>444</v>
      </c>
      <c r="F42" s="570"/>
      <c r="G42" s="570"/>
      <c r="H42" s="570"/>
      <c r="I42" s="570"/>
      <c r="J42" s="570"/>
      <c r="K42" s="570"/>
      <c r="L42" s="570"/>
      <c r="M42" s="570"/>
      <c r="N42" s="570"/>
      <c r="O42" s="570"/>
      <c r="P42" s="570"/>
      <c r="Q42" s="570"/>
      <c r="R42" s="570"/>
      <c r="Y42" s="565">
        <f t="shared" si="3"/>
        <v>0</v>
      </c>
    </row>
    <row r="43" spans="1:25" ht="12.75">
      <c r="A43" s="565" t="s">
        <v>699</v>
      </c>
      <c r="B43" s="565" t="s">
        <v>478</v>
      </c>
      <c r="C43" s="566" t="s">
        <v>648</v>
      </c>
      <c r="D43" s="565" t="s">
        <v>206</v>
      </c>
      <c r="E43" s="565" t="s">
        <v>444</v>
      </c>
      <c r="F43" s="570"/>
      <c r="G43" s="570"/>
      <c r="H43" s="570"/>
      <c r="I43" s="570"/>
      <c r="J43" s="570"/>
      <c r="K43" s="570"/>
      <c r="L43" s="570"/>
      <c r="M43" s="570"/>
      <c r="N43" s="570"/>
      <c r="O43" s="570"/>
      <c r="P43" s="570">
        <v>3.19846691531997</v>
      </c>
      <c r="Q43" s="570"/>
      <c r="R43" s="570"/>
      <c r="Y43" s="565">
        <f t="shared" si="3"/>
        <v>0</v>
      </c>
    </row>
    <row r="44" spans="1:25" ht="25.5">
      <c r="A44" s="565" t="s">
        <v>699</v>
      </c>
      <c r="B44" s="565" t="s">
        <v>479</v>
      </c>
      <c r="C44" s="566" t="s">
        <v>649</v>
      </c>
      <c r="D44" s="565" t="s">
        <v>206</v>
      </c>
      <c r="E44" s="565" t="s">
        <v>444</v>
      </c>
      <c r="F44" s="570"/>
      <c r="G44" s="570"/>
      <c r="H44" s="570"/>
      <c r="I44" s="570"/>
      <c r="J44" s="570"/>
      <c r="K44" s="570"/>
      <c r="L44" s="570"/>
      <c r="M44" s="570"/>
      <c r="N44" s="570"/>
      <c r="O44" s="570"/>
      <c r="P44" s="570">
        <v>-61.1749783649225</v>
      </c>
      <c r="Q44" s="570"/>
      <c r="R44" s="570"/>
      <c r="Y44" s="565">
        <f t="shared" si="3"/>
        <v>0</v>
      </c>
    </row>
    <row r="45" spans="1:25" ht="25.5">
      <c r="A45" s="565" t="s">
        <v>699</v>
      </c>
      <c r="B45" s="565" t="s">
        <v>470</v>
      </c>
      <c r="C45" s="566" t="s">
        <v>226</v>
      </c>
      <c r="D45" s="565" t="s">
        <v>206</v>
      </c>
      <c r="E45" s="565" t="s">
        <v>444</v>
      </c>
      <c r="F45" s="575"/>
      <c r="G45" s="575"/>
      <c r="H45" s="575"/>
      <c r="I45" s="575"/>
      <c r="J45" s="572">
        <v>0</v>
      </c>
      <c r="K45" s="572">
        <v>0</v>
      </c>
      <c r="L45" s="572">
        <v>0</v>
      </c>
      <c r="M45" s="572">
        <v>0</v>
      </c>
      <c r="N45" s="572">
        <v>0</v>
      </c>
      <c r="O45" s="572"/>
      <c r="P45" s="572"/>
      <c r="Q45" s="572"/>
      <c r="R45" s="572">
        <v>0</v>
      </c>
      <c r="U45" s="565">
        <v>0</v>
      </c>
      <c r="Y45" s="565">
        <f t="shared" si="3"/>
        <v>0</v>
      </c>
    </row>
    <row r="46" spans="1:28" ht="12.75">
      <c r="A46" s="565" t="s">
        <v>699</v>
      </c>
      <c r="B46" s="565" t="s">
        <v>475</v>
      </c>
      <c r="C46" s="566" t="s">
        <v>227</v>
      </c>
      <c r="D46" s="565" t="s">
        <v>206</v>
      </c>
      <c r="E46" s="565" t="s">
        <v>444</v>
      </c>
      <c r="F46" s="570"/>
      <c r="G46" s="570"/>
      <c r="H46" s="570"/>
      <c r="I46" s="570"/>
      <c r="J46" s="570"/>
      <c r="K46" s="570"/>
      <c r="L46" s="570"/>
      <c r="M46" s="570"/>
      <c r="N46" s="577">
        <v>-62.158</v>
      </c>
      <c r="O46" s="570"/>
      <c r="P46" s="570"/>
      <c r="Q46" s="570"/>
      <c r="R46" s="570"/>
      <c r="U46" s="565">
        <v>-57.5046753241557</v>
      </c>
      <c r="Y46" s="565">
        <f t="shared" si="3"/>
        <v>4.653324675844303</v>
      </c>
      <c r="AB46" s="96" t="s">
        <v>821</v>
      </c>
    </row>
    <row r="47" spans="1:25" ht="25.5">
      <c r="A47" s="565" t="s">
        <v>699</v>
      </c>
      <c r="B47" s="565" t="s">
        <v>495</v>
      </c>
      <c r="C47" s="566" t="s">
        <v>650</v>
      </c>
      <c r="D47" s="565" t="s">
        <v>206</v>
      </c>
      <c r="E47" s="565" t="s">
        <v>444</v>
      </c>
      <c r="F47" s="570"/>
      <c r="G47" s="570"/>
      <c r="H47" s="570"/>
      <c r="I47" s="570"/>
      <c r="J47" s="570"/>
      <c r="K47" s="570"/>
      <c r="L47" s="570"/>
      <c r="M47" s="570"/>
      <c r="N47" s="570"/>
      <c r="O47" s="570"/>
      <c r="P47" s="570"/>
      <c r="Q47" s="570"/>
      <c r="R47" s="570"/>
      <c r="Y47" s="565">
        <f t="shared" si="3"/>
        <v>0</v>
      </c>
    </row>
    <row r="48" spans="1:28" ht="12.75">
      <c r="A48" s="565" t="s">
        <v>699</v>
      </c>
      <c r="B48" s="565" t="s">
        <v>473</v>
      </c>
      <c r="C48" s="566" t="s">
        <v>643</v>
      </c>
      <c r="D48" s="565" t="s">
        <v>206</v>
      </c>
      <c r="E48" s="565" t="s">
        <v>444</v>
      </c>
      <c r="F48" s="570"/>
      <c r="G48" s="570"/>
      <c r="H48" s="570"/>
      <c r="I48" s="570"/>
      <c r="J48" s="570"/>
      <c r="K48" s="570"/>
      <c r="L48" s="570"/>
      <c r="M48" s="570"/>
      <c r="N48" s="577">
        <v>0.448</v>
      </c>
      <c r="O48" s="570"/>
      <c r="P48" s="570"/>
      <c r="Q48" s="570"/>
      <c r="R48" s="570"/>
      <c r="U48" s="565">
        <v>0.237803871544021</v>
      </c>
      <c r="Y48" s="565">
        <f t="shared" si="3"/>
        <v>-0.21019612845597901</v>
      </c>
      <c r="AB48" s="96" t="s">
        <v>823</v>
      </c>
    </row>
    <row r="49" spans="1:25" ht="12.75">
      <c r="A49" s="565" t="s">
        <v>699</v>
      </c>
      <c r="B49" s="565" t="s">
        <v>504</v>
      </c>
      <c r="C49" s="566" t="s">
        <v>651</v>
      </c>
      <c r="D49" s="565" t="s">
        <v>206</v>
      </c>
      <c r="E49" s="565" t="s">
        <v>444</v>
      </c>
      <c r="F49" s="570"/>
      <c r="G49" s="570"/>
      <c r="H49" s="570"/>
      <c r="I49" s="570"/>
      <c r="J49" s="570"/>
      <c r="K49" s="570"/>
      <c r="L49" s="570"/>
      <c r="M49" s="570"/>
      <c r="N49" s="570"/>
      <c r="O49" s="570"/>
      <c r="P49" s="570"/>
      <c r="Q49" s="570"/>
      <c r="R49" s="570"/>
      <c r="Y49" s="565">
        <f t="shared" si="3"/>
        <v>0</v>
      </c>
    </row>
    <row r="50" spans="1:25" ht="12.75">
      <c r="A50" s="565" t="s">
        <v>699</v>
      </c>
      <c r="B50" s="565" t="s">
        <v>500</v>
      </c>
      <c r="C50" s="566" t="s">
        <v>652</v>
      </c>
      <c r="D50" s="565" t="s">
        <v>206</v>
      </c>
      <c r="E50" s="565" t="s">
        <v>444</v>
      </c>
      <c r="F50" s="570"/>
      <c r="G50" s="570"/>
      <c r="H50" s="570"/>
      <c r="I50" s="570"/>
      <c r="J50" s="570"/>
      <c r="K50" s="570"/>
      <c r="L50" s="570"/>
      <c r="M50" s="570"/>
      <c r="N50" s="570"/>
      <c r="O50" s="570"/>
      <c r="P50" s="570"/>
      <c r="Q50" s="570"/>
      <c r="R50" s="570"/>
      <c r="Y50" s="565">
        <f t="shared" si="3"/>
        <v>0</v>
      </c>
    </row>
    <row r="51" spans="1:25" ht="12.75">
      <c r="A51" s="565" t="s">
        <v>699</v>
      </c>
      <c r="B51" s="565" t="s">
        <v>499</v>
      </c>
      <c r="C51" s="566" t="s">
        <v>653</v>
      </c>
      <c r="D51" s="565" t="s">
        <v>206</v>
      </c>
      <c r="E51" s="565" t="s">
        <v>444</v>
      </c>
      <c r="F51" s="570"/>
      <c r="G51" s="570"/>
      <c r="H51" s="570"/>
      <c r="I51" s="570"/>
      <c r="J51" s="570"/>
      <c r="K51" s="570"/>
      <c r="L51" s="570"/>
      <c r="M51" s="570"/>
      <c r="N51" s="570"/>
      <c r="O51" s="570"/>
      <c r="P51" s="570"/>
      <c r="Q51" s="570"/>
      <c r="R51" s="570"/>
      <c r="Y51" s="565">
        <f t="shared" si="3"/>
        <v>0</v>
      </c>
    </row>
    <row r="52" spans="1:25" ht="25.5">
      <c r="A52" s="565" t="s">
        <v>699</v>
      </c>
      <c r="B52" s="565" t="s">
        <v>496</v>
      </c>
      <c r="C52" s="566" t="s">
        <v>654</v>
      </c>
      <c r="D52" s="565" t="s">
        <v>206</v>
      </c>
      <c r="E52" s="565" t="s">
        <v>444</v>
      </c>
      <c r="F52" s="570"/>
      <c r="G52" s="570"/>
      <c r="H52" s="570"/>
      <c r="I52" s="570"/>
      <c r="J52" s="570"/>
      <c r="K52" s="570"/>
      <c r="L52" s="570"/>
      <c r="M52" s="570"/>
      <c r="N52" s="570"/>
      <c r="O52" s="570"/>
      <c r="P52" s="570"/>
      <c r="Q52" s="570"/>
      <c r="R52" s="570"/>
      <c r="Y52" s="565">
        <f t="shared" si="3"/>
        <v>0</v>
      </c>
    </row>
    <row r="53" spans="1:25" ht="25.5">
      <c r="A53" s="565" t="s">
        <v>699</v>
      </c>
      <c r="B53" s="565" t="s">
        <v>471</v>
      </c>
      <c r="C53" s="566" t="s">
        <v>236</v>
      </c>
      <c r="D53" s="565" t="s">
        <v>206</v>
      </c>
      <c r="E53" s="565" t="s">
        <v>444</v>
      </c>
      <c r="F53" s="576"/>
      <c r="G53" s="576"/>
      <c r="H53" s="576"/>
      <c r="I53" s="576"/>
      <c r="J53" s="572">
        <v>0</v>
      </c>
      <c r="K53" s="572">
        <v>0</v>
      </c>
      <c r="L53" s="572">
        <v>0</v>
      </c>
      <c r="M53" s="572">
        <v>0</v>
      </c>
      <c r="N53" s="572">
        <v>0</v>
      </c>
      <c r="O53" s="572"/>
      <c r="P53" s="572"/>
      <c r="Q53" s="572"/>
      <c r="R53" s="572">
        <v>0</v>
      </c>
      <c r="U53" s="565">
        <v>0</v>
      </c>
      <c r="Y53" s="565">
        <f t="shared" si="3"/>
        <v>0</v>
      </c>
    </row>
    <row r="54" spans="1:18" ht="12.75">
      <c r="A54" s="565" t="s">
        <v>699</v>
      </c>
      <c r="B54" s="565" t="s">
        <v>678</v>
      </c>
      <c r="C54" s="566" t="s">
        <v>679</v>
      </c>
      <c r="D54" s="565" t="s">
        <v>206</v>
      </c>
      <c r="E54" s="565" t="s">
        <v>444</v>
      </c>
      <c r="F54" s="570"/>
      <c r="G54" s="570"/>
      <c r="H54" s="570"/>
      <c r="I54" s="570"/>
      <c r="J54" s="570"/>
      <c r="K54" s="570"/>
      <c r="L54" s="570"/>
      <c r="M54" s="570"/>
      <c r="N54" s="570"/>
      <c r="O54" s="570"/>
      <c r="P54" s="570"/>
      <c r="Q54" s="570"/>
      <c r="R54" s="570"/>
    </row>
    <row r="55" spans="1:18" ht="25.5">
      <c r="A55" s="565" t="s">
        <v>699</v>
      </c>
      <c r="B55" s="565" t="s">
        <v>497</v>
      </c>
      <c r="C55" s="566" t="s">
        <v>655</v>
      </c>
      <c r="D55" s="565" t="s">
        <v>206</v>
      </c>
      <c r="E55" s="565" t="s">
        <v>444</v>
      </c>
      <c r="F55" s="570"/>
      <c r="G55" s="570"/>
      <c r="H55" s="570"/>
      <c r="I55" s="570"/>
      <c r="J55" s="570"/>
      <c r="K55" s="570"/>
      <c r="L55" s="570"/>
      <c r="M55" s="570"/>
      <c r="N55" s="570"/>
      <c r="O55" s="570"/>
      <c r="P55" s="570"/>
      <c r="Q55" s="570"/>
      <c r="R55" s="570"/>
    </row>
    <row r="56" spans="1:18" ht="12.75">
      <c r="A56" s="565" t="s">
        <v>699</v>
      </c>
      <c r="B56" s="565" t="s">
        <v>498</v>
      </c>
      <c r="C56" s="566" t="s">
        <v>656</v>
      </c>
      <c r="D56" s="565" t="s">
        <v>206</v>
      </c>
      <c r="E56" s="565" t="s">
        <v>444</v>
      </c>
      <c r="F56" s="570"/>
      <c r="G56" s="570"/>
      <c r="H56" s="570"/>
      <c r="I56" s="570"/>
      <c r="J56" s="570"/>
      <c r="K56" s="570"/>
      <c r="L56" s="570"/>
      <c r="M56" s="570"/>
      <c r="N56" s="570"/>
      <c r="O56" s="570"/>
      <c r="P56" s="570"/>
      <c r="Q56" s="570"/>
      <c r="R56" s="570"/>
    </row>
  </sheetData>
  <sheetProtection/>
  <mergeCells count="2">
    <mergeCell ref="T5:V5"/>
    <mergeCell ref="X5:Z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7"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sheetPr codeName="Sheet16">
    <tabColor rgb="FFFFFF99"/>
    <outlinePr summaryBelow="0" summaryRight="0"/>
    <pageSetUpPr fitToPage="1"/>
  </sheetPr>
  <dimension ref="A1:IV140"/>
  <sheetViews>
    <sheetView showGridLines="0" defaultGridColor="0" zoomScale="80" zoomScaleNormal="80" zoomScalePageLayoutView="0" colorId="22" workbookViewId="0" topLeftCell="A1">
      <pane xSplit="9" ySplit="5" topLeftCell="L6"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outlineLevelRow="1"/>
  <cols>
    <col min="1" max="1" width="13.7109375" style="35" customWidth="1"/>
    <col min="2" max="2" width="1.28515625" style="35" customWidth="1"/>
    <col min="3" max="3" width="1.28515625" style="34" customWidth="1"/>
    <col min="4" max="4" width="20.7109375" style="4" customWidth="1"/>
    <col min="5" max="5" width="97.140625" style="4" bestFit="1" customWidth="1"/>
    <col min="6" max="7" width="12.7109375" style="4" customWidth="1"/>
    <col min="8" max="8" width="15.7109375" style="4" customWidth="1"/>
    <col min="9" max="9" width="2.7109375" style="4" customWidth="1"/>
    <col min="10" max="21" width="12.7109375" style="4" customWidth="1"/>
    <col min="22" max="16384" width="9.140625" style="0" hidden="1" customWidth="1"/>
  </cols>
  <sheetData>
    <row r="1" spans="1:10" ht="26.25">
      <c r="A1" s="22" t="str">
        <f ca="1">RIGHT(CELL("FILENAME",$A$1),LEN(CELL("FILENAME",$A$1))-SEARCH("]",CELL("FILENAME",$A$1)))</f>
        <v>Inputs</v>
      </c>
      <c r="E1" s="88"/>
      <c r="F1" s="139"/>
      <c r="G1" s="139"/>
      <c r="H1" s="139"/>
      <c r="J1" s="88"/>
    </row>
    <row r="2" spans="5:21" ht="12.75">
      <c r="E2" s="4" t="str">
        <f>Time!E$25</f>
        <v>Model period ending</v>
      </c>
      <c r="J2" s="3">
        <f>Time!J$25</f>
        <v>41364</v>
      </c>
      <c r="K2" s="3">
        <f>Time!K$25</f>
        <v>41729</v>
      </c>
      <c r="L2" s="3">
        <f>Time!L$25</f>
        <v>42094</v>
      </c>
      <c r="M2" s="3">
        <f>Time!M$25</f>
        <v>42460</v>
      </c>
      <c r="N2" s="3">
        <f>Time!N$25</f>
        <v>42825</v>
      </c>
      <c r="O2" s="3">
        <f>Time!O$25</f>
        <v>43190</v>
      </c>
      <c r="P2" s="3">
        <f>Time!P$25</f>
        <v>43555</v>
      </c>
      <c r="Q2" s="3">
        <f>Time!Q$25</f>
        <v>43921</v>
      </c>
      <c r="R2" s="3">
        <f>Time!R$25</f>
        <v>44286</v>
      </c>
      <c r="S2" s="3">
        <f>Time!S$25</f>
        <v>44651</v>
      </c>
      <c r="T2" s="3">
        <f>Time!T$25</f>
        <v>45016</v>
      </c>
      <c r="U2" s="3">
        <f>Time!U$25</f>
        <v>45382</v>
      </c>
    </row>
    <row r="3" spans="5:21" ht="12.75">
      <c r="E3" s="4" t="str">
        <f>Time!E$80</f>
        <v>Timeline label</v>
      </c>
      <c r="J3" s="124" t="str">
        <f>Time!J$80</f>
        <v>Pre-Fcst</v>
      </c>
      <c r="K3" s="124" t="str">
        <f>Time!K$80</f>
        <v>Pre-Fcst</v>
      </c>
      <c r="L3" s="124" t="str">
        <f>Time!L$80</f>
        <v>Pre-Fcst</v>
      </c>
      <c r="M3" s="124" t="str">
        <f>Time!M$80</f>
        <v>Pre-Fcst</v>
      </c>
      <c r="N3" s="124" t="str">
        <f>Time!N$80</f>
        <v>Pre-Fcst</v>
      </c>
      <c r="O3" s="124" t="str">
        <f>Time!O$80</f>
        <v>Pre-Fcst</v>
      </c>
      <c r="P3" s="124" t="str">
        <f>Time!P$80</f>
        <v>Pre-Fcst</v>
      </c>
      <c r="Q3" s="124" t="str">
        <f>Time!Q$80</f>
        <v>Pre-Fcst</v>
      </c>
      <c r="R3" s="124" t="str">
        <f>Time!R$80</f>
        <v>Forecast</v>
      </c>
      <c r="S3" s="124" t="str">
        <f>Time!S$80</f>
        <v>Forecast</v>
      </c>
      <c r="T3" s="124" t="str">
        <f>Time!T$80</f>
        <v>Forecast</v>
      </c>
      <c r="U3" s="124" t="str">
        <f>Time!U$80</f>
        <v>Forecast</v>
      </c>
    </row>
    <row r="4" spans="4:21" ht="12.75">
      <c r="D4" s="288"/>
      <c r="E4" s="4" t="str">
        <f>Time!E$103</f>
        <v>Financial year ending</v>
      </c>
      <c r="J4" s="24">
        <f>Time!J$103</f>
        <v>2013</v>
      </c>
      <c r="K4" s="24">
        <f>Time!K$103</f>
        <v>2014</v>
      </c>
      <c r="L4" s="24">
        <f>Time!L$103</f>
        <v>2015</v>
      </c>
      <c r="M4" s="24">
        <f>Time!M$103</f>
        <v>2016</v>
      </c>
      <c r="N4" s="24">
        <f>Time!N$103</f>
        <v>2017</v>
      </c>
      <c r="O4" s="24">
        <f>Time!O$103</f>
        <v>2018</v>
      </c>
      <c r="P4" s="24">
        <f>Time!P$103</f>
        <v>2019</v>
      </c>
      <c r="Q4" s="24">
        <f>Time!Q$103</f>
        <v>2020</v>
      </c>
      <c r="R4" s="24">
        <f>Time!R$103</f>
        <v>2021</v>
      </c>
      <c r="S4" s="24">
        <f>Time!S$103</f>
        <v>2022</v>
      </c>
      <c r="T4" s="24">
        <f>Time!T$103</f>
        <v>2023</v>
      </c>
      <c r="U4" s="24">
        <f>Time!U$103</f>
        <v>2024</v>
      </c>
    </row>
    <row r="5" spans="1:21" ht="12.75">
      <c r="A5" s="134">
        <f>IF(COUNTIF(A6:A140,"&lt; 0")+COUNTIF(A6:A140,"&gt;0")&lt;&gt;0,1,0)</f>
        <v>0</v>
      </c>
      <c r="D5" s="35" t="s">
        <v>132</v>
      </c>
      <c r="E5" s="4" t="str">
        <f>Time!E$10</f>
        <v>Model column counter</v>
      </c>
      <c r="F5" s="38" t="s">
        <v>133</v>
      </c>
      <c r="G5" s="35" t="s">
        <v>134</v>
      </c>
      <c r="H5" s="38" t="s">
        <v>135</v>
      </c>
      <c r="J5" s="4">
        <f>Time!J$10</f>
        <v>1</v>
      </c>
      <c r="K5" s="4">
        <f>Time!K$10</f>
        <v>2</v>
      </c>
      <c r="L5" s="4">
        <f>Time!L$10</f>
        <v>3</v>
      </c>
      <c r="M5" s="4">
        <f>Time!M$10</f>
        <v>4</v>
      </c>
      <c r="N5" s="4">
        <f>Time!N$10</f>
        <v>5</v>
      </c>
      <c r="O5" s="4">
        <f>Time!O$10</f>
        <v>6</v>
      </c>
      <c r="P5" s="4">
        <f>Time!P$10</f>
        <v>7</v>
      </c>
      <c r="Q5" s="4">
        <f>Time!Q$10</f>
        <v>8</v>
      </c>
      <c r="R5" s="4">
        <f>Time!R$10</f>
        <v>9</v>
      </c>
      <c r="S5" s="4">
        <f>Time!S$10</f>
        <v>10</v>
      </c>
      <c r="T5" s="4">
        <f>Time!T$10</f>
        <v>11</v>
      </c>
      <c r="U5" s="4">
        <f>Time!U$10</f>
        <v>12</v>
      </c>
    </row>
    <row r="6" spans="1:21" s="131" customFormat="1" ht="12.75">
      <c r="A6" s="125"/>
      <c r="B6" s="125"/>
      <c r="C6" s="132"/>
      <c r="D6" s="289"/>
      <c r="E6" s="104" t="s">
        <v>136</v>
      </c>
      <c r="F6" s="137"/>
      <c r="G6" s="125"/>
      <c r="H6" s="137"/>
      <c r="I6" s="104"/>
      <c r="J6" s="104"/>
      <c r="K6" s="104"/>
      <c r="L6" s="104"/>
      <c r="M6" s="104"/>
      <c r="N6" s="104"/>
      <c r="O6" s="104"/>
      <c r="P6" s="104"/>
      <c r="Q6" s="104"/>
      <c r="R6" s="104"/>
      <c r="S6" s="104"/>
      <c r="T6" s="104"/>
      <c r="U6" s="104"/>
    </row>
    <row r="8" spans="1:21" ht="12.75" customHeight="1" collapsed="1">
      <c r="A8" s="43" t="s">
        <v>137</v>
      </c>
      <c r="B8" s="43"/>
      <c r="C8" s="44"/>
      <c r="D8" s="43"/>
      <c r="E8" s="43"/>
      <c r="F8" s="43"/>
      <c r="G8" s="43"/>
      <c r="H8" s="43"/>
      <c r="I8" s="43"/>
      <c r="J8" s="43"/>
      <c r="K8" s="43"/>
      <c r="L8" s="43"/>
      <c r="M8" s="43"/>
      <c r="N8" s="43"/>
      <c r="O8" s="43"/>
      <c r="P8" s="43"/>
      <c r="Q8" s="43"/>
      <c r="R8" s="43"/>
      <c r="S8" s="43"/>
      <c r="T8" s="43"/>
      <c r="U8" s="43"/>
    </row>
    <row r="9" spans="1:21" ht="12.75" customHeight="1" hidden="1" outlineLevel="1">
      <c r="A9" s="4"/>
      <c r="C9"/>
      <c r="E9"/>
      <c r="F9" s="1"/>
      <c r="G9" s="28"/>
      <c r="H9" s="28"/>
      <c r="I9"/>
      <c r="J9"/>
      <c r="K9"/>
      <c r="L9"/>
      <c r="M9"/>
      <c r="N9"/>
      <c r="O9"/>
      <c r="P9"/>
      <c r="Q9"/>
      <c r="R9"/>
      <c r="S9"/>
      <c r="T9"/>
      <c r="U9"/>
    </row>
    <row r="10" spans="1:8" ht="12.75" customHeight="1" hidden="1" outlineLevel="1">
      <c r="A10" s="4"/>
      <c r="B10" s="32" t="s">
        <v>138</v>
      </c>
      <c r="C10" s="32"/>
      <c r="D10" s="33"/>
      <c r="E10" s="33"/>
      <c r="F10" s="27"/>
      <c r="G10" s="28"/>
      <c r="H10" s="28"/>
    </row>
    <row r="11" spans="1:8" ht="12.75" customHeight="1" hidden="1" outlineLevel="1">
      <c r="A11" s="4"/>
      <c r="C11" s="35"/>
      <c r="F11" s="27"/>
      <c r="G11" s="28"/>
      <c r="H11" s="28"/>
    </row>
    <row r="12" spans="1:8" ht="12.75" customHeight="1" hidden="1" outlineLevel="1">
      <c r="A12" s="4"/>
      <c r="C12" s="35" t="s">
        <v>139</v>
      </c>
      <c r="F12" s="27"/>
      <c r="G12" s="28"/>
      <c r="H12" s="28"/>
    </row>
    <row r="13" spans="1:21" ht="12.75" customHeight="1" hidden="1" outlineLevel="1">
      <c r="A13" s="4" t="s">
        <v>583</v>
      </c>
      <c r="B13" s="2"/>
      <c r="C13" s="4"/>
      <c r="E13" s="14" t="s">
        <v>140</v>
      </c>
      <c r="F13" s="126">
        <v>41000</v>
      </c>
      <c r="G13" s="14" t="s">
        <v>141</v>
      </c>
      <c r="H13" s="21" t="s">
        <v>142</v>
      </c>
      <c r="I13" s="2"/>
      <c r="J13" s="21"/>
      <c r="K13" s="21"/>
      <c r="L13" s="21"/>
      <c r="M13" s="21"/>
      <c r="N13" s="21"/>
      <c r="O13" s="21"/>
      <c r="P13" s="21"/>
      <c r="Q13" s="21"/>
      <c r="R13" s="21"/>
      <c r="S13" s="21"/>
      <c r="T13" s="21"/>
      <c r="U13" s="21"/>
    </row>
    <row r="14" spans="1:21" ht="12.75" customHeight="1" hidden="1" outlineLevel="1">
      <c r="A14" s="4"/>
      <c r="B14" s="2"/>
      <c r="C14" s="21"/>
      <c r="E14" s="21"/>
      <c r="F14" s="14"/>
      <c r="G14" s="28"/>
      <c r="H14" s="21"/>
      <c r="I14" s="21"/>
      <c r="J14" s="21"/>
      <c r="K14" s="21"/>
      <c r="L14" s="21"/>
      <c r="M14" s="21"/>
      <c r="N14" s="21"/>
      <c r="O14" s="21"/>
      <c r="P14" s="21"/>
      <c r="Q14" s="21"/>
      <c r="R14" s="21"/>
      <c r="S14" s="21"/>
      <c r="T14" s="21"/>
      <c r="U14" s="21"/>
    </row>
    <row r="15" spans="1:8" ht="12.75" customHeight="1" hidden="1" outlineLevel="1">
      <c r="A15" s="4"/>
      <c r="C15" s="35" t="s">
        <v>143</v>
      </c>
      <c r="F15" s="27"/>
      <c r="G15" s="28"/>
      <c r="H15" s="21"/>
    </row>
    <row r="16" spans="1:21" ht="12.75" customHeight="1" hidden="1" outlineLevel="1">
      <c r="A16" s="4" t="s">
        <v>584</v>
      </c>
      <c r="B16" s="2"/>
      <c r="C16" s="4"/>
      <c r="E16" s="4" t="s">
        <v>144</v>
      </c>
      <c r="F16" s="257">
        <v>2013</v>
      </c>
      <c r="G16" s="24" t="s">
        <v>145</v>
      </c>
      <c r="H16" s="24" t="s">
        <v>146</v>
      </c>
      <c r="I16" s="21"/>
      <c r="J16" s="21"/>
      <c r="N16" s="21"/>
      <c r="O16" s="21"/>
      <c r="P16" s="21"/>
      <c r="Q16" s="21"/>
      <c r="R16" s="21"/>
      <c r="S16" s="21"/>
      <c r="T16" s="21"/>
      <c r="U16" s="21"/>
    </row>
    <row r="17" spans="1:21" ht="12.75" customHeight="1" hidden="1" outlineLevel="1">
      <c r="A17" s="4" t="s">
        <v>585</v>
      </c>
      <c r="B17" s="2"/>
      <c r="C17" s="4"/>
      <c r="E17" s="4" t="s">
        <v>147</v>
      </c>
      <c r="F17" s="258">
        <v>3</v>
      </c>
      <c r="G17" s="4" t="s">
        <v>148</v>
      </c>
      <c r="H17" s="4" t="s">
        <v>149</v>
      </c>
      <c r="I17" s="21"/>
      <c r="J17" s="21"/>
      <c r="N17" s="21"/>
      <c r="O17" s="21"/>
      <c r="P17" s="21"/>
      <c r="Q17" s="21"/>
      <c r="R17" s="21"/>
      <c r="S17" s="21"/>
      <c r="T17" s="21"/>
      <c r="U17" s="21"/>
    </row>
    <row r="18" spans="1:21" ht="12.75" customHeight="1" hidden="1" outlineLevel="1">
      <c r="A18" s="4"/>
      <c r="B18" s="2"/>
      <c r="C18" s="21"/>
      <c r="E18" s="28"/>
      <c r="F18" s="259"/>
      <c r="G18" s="28"/>
      <c r="H18" s="21"/>
      <c r="I18" s="21"/>
      <c r="J18" s="21"/>
      <c r="N18" s="21"/>
      <c r="O18" s="21"/>
      <c r="P18" s="21"/>
      <c r="Q18" s="21"/>
      <c r="R18" s="21"/>
      <c r="S18" s="21"/>
      <c r="T18" s="21"/>
      <c r="U18" s="21"/>
    </row>
    <row r="19" spans="1:21" ht="12.75" customHeight="1" hidden="1" outlineLevel="1">
      <c r="A19" s="4"/>
      <c r="C19" s="35" t="s">
        <v>150</v>
      </c>
      <c r="H19" s="28"/>
      <c r="I19"/>
      <c r="J19"/>
      <c r="N19"/>
      <c r="O19"/>
      <c r="P19"/>
      <c r="Q19"/>
      <c r="R19"/>
      <c r="S19"/>
      <c r="T19"/>
      <c r="U19"/>
    </row>
    <row r="20" spans="1:21" ht="12.75" customHeight="1" hidden="1" outlineLevel="1">
      <c r="A20" s="4" t="s">
        <v>586</v>
      </c>
      <c r="C20"/>
      <c r="E20" s="4" t="s">
        <v>151</v>
      </c>
      <c r="F20" s="31" t="s">
        <v>152</v>
      </c>
      <c r="G20" s="4" t="s">
        <v>153</v>
      </c>
      <c r="H20" s="28"/>
      <c r="I20"/>
      <c r="J20"/>
      <c r="K20" s="21"/>
      <c r="M20" s="21"/>
      <c r="N20"/>
      <c r="O20"/>
      <c r="P20"/>
      <c r="Q20"/>
      <c r="R20"/>
      <c r="S20"/>
      <c r="T20"/>
      <c r="U20"/>
    </row>
    <row r="21" spans="1:21" ht="12.75" customHeight="1" hidden="1" outlineLevel="1">
      <c r="A21" s="4" t="s">
        <v>587</v>
      </c>
      <c r="C21"/>
      <c r="E21" s="4" t="s">
        <v>154</v>
      </c>
      <c r="F21" s="30" t="s">
        <v>155</v>
      </c>
      <c r="G21" s="4" t="s">
        <v>153</v>
      </c>
      <c r="H21" s="28"/>
      <c r="I21"/>
      <c r="J21"/>
      <c r="N21"/>
      <c r="O21"/>
      <c r="P21"/>
      <c r="Q21"/>
      <c r="R21"/>
      <c r="S21"/>
      <c r="T21"/>
      <c r="U21"/>
    </row>
    <row r="22" spans="1:21" ht="12.75" customHeight="1" hidden="1" outlineLevel="1">
      <c r="A22" s="4" t="s">
        <v>588</v>
      </c>
      <c r="C22"/>
      <c r="E22" s="4" t="s">
        <v>156</v>
      </c>
      <c r="F22" s="127" t="s">
        <v>157</v>
      </c>
      <c r="G22" s="4" t="s">
        <v>153</v>
      </c>
      <c r="H22" s="28"/>
      <c r="I22"/>
      <c r="J22"/>
      <c r="N22"/>
      <c r="O22"/>
      <c r="P22"/>
      <c r="Q22"/>
      <c r="R22"/>
      <c r="S22"/>
      <c r="T22"/>
      <c r="U22"/>
    </row>
    <row r="23" spans="1:21" ht="12.75" customHeight="1" hidden="1" outlineLevel="1">
      <c r="A23" s="4"/>
      <c r="C23"/>
      <c r="H23" s="28"/>
      <c r="I23"/>
      <c r="J23"/>
      <c r="N23"/>
      <c r="O23"/>
      <c r="P23"/>
      <c r="Q23"/>
      <c r="R23"/>
      <c r="S23"/>
      <c r="T23"/>
      <c r="U23"/>
    </row>
    <row r="24" spans="1:8" ht="12.75" customHeight="1" hidden="1" outlineLevel="1">
      <c r="A24" s="4"/>
      <c r="B24" s="32" t="s">
        <v>158</v>
      </c>
      <c r="C24" s="32"/>
      <c r="D24" s="33"/>
      <c r="E24" s="33"/>
      <c r="F24" s="27"/>
      <c r="G24" s="28"/>
      <c r="H24" s="28"/>
    </row>
    <row r="25" spans="1:21" ht="12.75" customHeight="1" hidden="1" outlineLevel="1">
      <c r="A25" s="4"/>
      <c r="C25"/>
      <c r="H25" s="28"/>
      <c r="I25"/>
      <c r="J25"/>
      <c r="N25"/>
      <c r="O25"/>
      <c r="P25"/>
      <c r="Q25"/>
      <c r="R25"/>
      <c r="S25"/>
      <c r="T25"/>
      <c r="U25"/>
    </row>
    <row r="26" spans="1:21" ht="12.75" customHeight="1" hidden="1" outlineLevel="1">
      <c r="A26" s="4" t="s">
        <v>589</v>
      </c>
      <c r="E26" s="14" t="s">
        <v>159</v>
      </c>
      <c r="F26" s="126">
        <v>43922</v>
      </c>
      <c r="G26" s="14" t="s">
        <v>141</v>
      </c>
      <c r="H26" s="14"/>
      <c r="I26" s="14"/>
      <c r="J26" s="14"/>
      <c r="K26" s="14"/>
      <c r="L26" s="14"/>
      <c r="M26" s="14"/>
      <c r="N26" s="14"/>
      <c r="O26" s="14"/>
      <c r="P26" s="14"/>
      <c r="Q26" s="14"/>
      <c r="R26" s="14"/>
      <c r="S26" s="14"/>
      <c r="T26" s="14"/>
      <c r="U26" s="14"/>
    </row>
    <row r="27" spans="1:21" ht="12.75" customHeight="1" hidden="1" outlineLevel="1">
      <c r="A27" s="4" t="s">
        <v>590</v>
      </c>
      <c r="B27" s="16"/>
      <c r="C27" s="17"/>
      <c r="E27" s="39" t="s">
        <v>160</v>
      </c>
      <c r="F27" s="136">
        <v>5</v>
      </c>
      <c r="G27" s="39" t="s">
        <v>161</v>
      </c>
      <c r="H27" s="37"/>
      <c r="I27" s="37"/>
      <c r="J27" s="37"/>
      <c r="K27" s="37"/>
      <c r="L27" s="37"/>
      <c r="M27" s="37"/>
      <c r="N27" s="37"/>
      <c r="O27" s="37"/>
      <c r="P27" s="37"/>
      <c r="Q27" s="37"/>
      <c r="R27" s="37"/>
      <c r="S27" s="37"/>
      <c r="T27" s="37"/>
      <c r="U27" s="37"/>
    </row>
    <row r="28" spans="1:21" ht="12.75" customHeight="1" hidden="1" outlineLevel="1">
      <c r="A28" s="4" t="s">
        <v>591</v>
      </c>
      <c r="B28" s="16"/>
      <c r="C28" s="17"/>
      <c r="E28" s="37" t="s">
        <v>162</v>
      </c>
      <c r="F28" s="128" t="str">
        <f>YEAR(F26)&amp;"-"&amp;TEXT(DATE(YEAR(F26)+F27,1,1),"yy")</f>
        <v>2020-25</v>
      </c>
      <c r="G28" s="37" t="s">
        <v>163</v>
      </c>
      <c r="H28" s="37"/>
      <c r="I28" s="37"/>
      <c r="J28" s="37"/>
      <c r="K28" s="37"/>
      <c r="L28" s="37"/>
      <c r="M28" s="37"/>
      <c r="N28" s="37"/>
      <c r="O28" s="37"/>
      <c r="P28" s="37"/>
      <c r="Q28" s="37"/>
      <c r="R28" s="37"/>
      <c r="S28" s="37"/>
      <c r="T28" s="37"/>
      <c r="U28" s="37"/>
    </row>
    <row r="29" spans="1:21" ht="12.75" customHeight="1" hidden="1" outlineLevel="1">
      <c r="A29" s="4"/>
      <c r="B29" s="2"/>
      <c r="C29" s="5"/>
      <c r="E29" s="5"/>
      <c r="F29" s="1"/>
      <c r="G29"/>
      <c r="H29"/>
      <c r="I29"/>
      <c r="J29" s="5"/>
      <c r="K29" s="5"/>
      <c r="L29" s="5"/>
      <c r="M29" s="5"/>
      <c r="N29" s="5"/>
      <c r="O29" s="5"/>
      <c r="P29" s="5"/>
      <c r="Q29" s="5"/>
      <c r="R29" s="5"/>
      <c r="S29" s="5"/>
      <c r="T29" s="5"/>
      <c r="U29" s="5"/>
    </row>
    <row r="30" spans="1:21" ht="12.75" customHeight="1">
      <c r="A30" s="4"/>
      <c r="B30" s="2"/>
      <c r="C30" s="5"/>
      <c r="E30" s="5"/>
      <c r="F30" s="1"/>
      <c r="G30"/>
      <c r="H30"/>
      <c r="I30"/>
      <c r="J30" s="5"/>
      <c r="K30" s="5"/>
      <c r="L30" s="5"/>
      <c r="M30" s="5"/>
      <c r="N30" s="5"/>
      <c r="O30" s="5"/>
      <c r="P30" s="5"/>
      <c r="Q30" s="5"/>
      <c r="R30" s="5"/>
      <c r="S30" s="5"/>
      <c r="T30" s="5"/>
      <c r="U30" s="5"/>
    </row>
    <row r="31" spans="1:21" ht="12.75" customHeight="1" collapsed="1">
      <c r="A31" s="43" t="s">
        <v>164</v>
      </c>
      <c r="B31" s="43"/>
      <c r="C31" s="44"/>
      <c r="D31" s="43"/>
      <c r="E31" s="43"/>
      <c r="F31" s="43"/>
      <c r="G31" s="43"/>
      <c r="H31" s="43"/>
      <c r="I31" s="43"/>
      <c r="J31" s="43"/>
      <c r="K31" s="43"/>
      <c r="L31" s="43"/>
      <c r="M31" s="43"/>
      <c r="N31" s="43"/>
      <c r="O31" s="43"/>
      <c r="P31" s="43"/>
      <c r="Q31" s="43"/>
      <c r="R31" s="43"/>
      <c r="S31" s="43"/>
      <c r="T31" s="43"/>
      <c r="U31" s="43"/>
    </row>
    <row r="32" spans="1:21" ht="12.75" customHeight="1" hidden="1" outlineLevel="1">
      <c r="A32" s="4"/>
      <c r="B32" s="2"/>
      <c r="C32" s="5"/>
      <c r="E32" s="5"/>
      <c r="F32" s="1"/>
      <c r="G32"/>
      <c r="H32"/>
      <c r="I32"/>
      <c r="J32" s="5"/>
      <c r="K32" s="5"/>
      <c r="L32" s="5"/>
      <c r="M32" s="5"/>
      <c r="N32" s="5"/>
      <c r="O32" s="5"/>
      <c r="P32" s="5"/>
      <c r="Q32" s="5"/>
      <c r="R32" s="5"/>
      <c r="S32" s="5"/>
      <c r="T32" s="5"/>
      <c r="U32" s="5"/>
    </row>
    <row r="33" spans="1:8" ht="12.75" customHeight="1" hidden="1" outlineLevel="1">
      <c r="A33" s="4"/>
      <c r="B33" s="32" t="s">
        <v>165</v>
      </c>
      <c r="C33" s="32"/>
      <c r="D33" s="33"/>
      <c r="E33" s="33"/>
      <c r="F33" s="27"/>
      <c r="G33" s="28"/>
      <c r="H33" s="28"/>
    </row>
    <row r="34" spans="1:21" ht="12.75" customHeight="1" hidden="1" outlineLevel="1">
      <c r="A34" s="4"/>
      <c r="B34" s="2"/>
      <c r="C34" s="5"/>
      <c r="E34" s="5"/>
      <c r="F34" s="1"/>
      <c r="G34"/>
      <c r="H34"/>
      <c r="I34"/>
      <c r="J34" s="5"/>
      <c r="K34" s="5"/>
      <c r="L34" s="5"/>
      <c r="M34" s="5"/>
      <c r="N34" s="5"/>
      <c r="O34" s="5"/>
      <c r="P34" s="5"/>
      <c r="Q34" s="5"/>
      <c r="R34" s="5"/>
      <c r="S34" s="5"/>
      <c r="T34" s="5"/>
      <c r="U34" s="5"/>
    </row>
    <row r="35" spans="1:21" ht="12.75" customHeight="1" hidden="1" outlineLevel="1">
      <c r="A35" s="4" t="str">
        <f>F_Inputs!B7</f>
        <v>BB3905AL</v>
      </c>
      <c r="B35" s="2"/>
      <c r="C35" s="5"/>
      <c r="E35" s="153" t="s">
        <v>166</v>
      </c>
      <c r="F35" s="153"/>
      <c r="G35" s="153" t="s">
        <v>167</v>
      </c>
      <c r="H35" s="153"/>
      <c r="I35" s="153"/>
      <c r="J35" s="154">
        <f>F_Inputs!G7</f>
        <v>95.9</v>
      </c>
      <c r="K35" s="154">
        <f>F_Inputs!H7</f>
        <v>98</v>
      </c>
      <c r="L35" s="154">
        <f>F_Inputs!I7</f>
        <v>99.6</v>
      </c>
      <c r="M35" s="154">
        <f>F_Inputs!J7</f>
        <v>99.9</v>
      </c>
      <c r="N35" s="154">
        <f>F_Inputs!K7</f>
        <v>100.6</v>
      </c>
      <c r="O35" s="154">
        <f>F_Inputs!L7</f>
        <v>103.2</v>
      </c>
      <c r="P35" s="154">
        <f>F_Inputs!M7</f>
        <v>105.5</v>
      </c>
      <c r="Q35" s="154">
        <f>F_Inputs!N7</f>
        <v>107.6522</v>
      </c>
      <c r="R35" s="154"/>
      <c r="S35" s="154"/>
      <c r="T35" s="154"/>
      <c r="U35" s="154"/>
    </row>
    <row r="36" spans="1:21" ht="12.75" customHeight="1" hidden="1" outlineLevel="1">
      <c r="A36" s="4" t="str">
        <f>F_Inputs!B8</f>
        <v>BB3905MY</v>
      </c>
      <c r="B36" s="2"/>
      <c r="C36" s="5"/>
      <c r="E36" s="153" t="s">
        <v>168</v>
      </c>
      <c r="F36" s="153"/>
      <c r="G36" s="153" t="s">
        <v>167</v>
      </c>
      <c r="H36" s="153"/>
      <c r="I36" s="153"/>
      <c r="J36" s="154">
        <f>F_Inputs!G8</f>
        <v>95.9</v>
      </c>
      <c r="K36" s="154">
        <f>F_Inputs!H8</f>
        <v>98.2</v>
      </c>
      <c r="L36" s="154">
        <f>F_Inputs!I8</f>
        <v>99.6</v>
      </c>
      <c r="M36" s="154">
        <f>F_Inputs!J8</f>
        <v>100.1</v>
      </c>
      <c r="N36" s="154">
        <f>F_Inputs!K8</f>
        <v>100.8</v>
      </c>
      <c r="O36" s="154">
        <f>F_Inputs!L8</f>
        <v>103.5</v>
      </c>
      <c r="P36" s="154">
        <f>F_Inputs!M8</f>
        <v>105.9</v>
      </c>
      <c r="Q36" s="154">
        <f>F_Inputs!N8</f>
        <v>107.88033</v>
      </c>
      <c r="R36" s="154"/>
      <c r="S36" s="154"/>
      <c r="T36" s="154"/>
      <c r="U36" s="154"/>
    </row>
    <row r="37" spans="1:21" ht="12.75" customHeight="1" hidden="1" outlineLevel="1">
      <c r="A37" s="4" t="str">
        <f>F_Inputs!B9</f>
        <v>BB3905JN</v>
      </c>
      <c r="B37" s="2"/>
      <c r="C37" s="5"/>
      <c r="E37" s="153" t="s">
        <v>169</v>
      </c>
      <c r="F37" s="153"/>
      <c r="G37" s="153" t="s">
        <v>167</v>
      </c>
      <c r="H37" s="153"/>
      <c r="I37" s="153"/>
      <c r="J37" s="154">
        <f>F_Inputs!G9</f>
        <v>95.6</v>
      </c>
      <c r="K37" s="154">
        <f>F_Inputs!H9</f>
        <v>98</v>
      </c>
      <c r="L37" s="154">
        <f>F_Inputs!I9</f>
        <v>99.8</v>
      </c>
      <c r="M37" s="154">
        <f>F_Inputs!J9</f>
        <v>100.1</v>
      </c>
      <c r="N37" s="154">
        <f>F_Inputs!K9</f>
        <v>101</v>
      </c>
      <c r="O37" s="154">
        <f>F_Inputs!L9</f>
        <v>103.5</v>
      </c>
      <c r="P37" s="154">
        <f>F_Inputs!M9</f>
        <v>105.9</v>
      </c>
      <c r="Q37" s="154">
        <f>F_Inputs!N9</f>
        <v>107.92268999999999</v>
      </c>
      <c r="R37" s="154"/>
      <c r="S37" s="154"/>
      <c r="T37" s="154"/>
      <c r="U37" s="154"/>
    </row>
    <row r="38" spans="1:21" ht="12.75" customHeight="1" hidden="1" outlineLevel="1">
      <c r="A38" s="4" t="str">
        <f>F_Inputs!B10</f>
        <v>BB3905JL</v>
      </c>
      <c r="B38" s="2"/>
      <c r="C38" s="5"/>
      <c r="E38" s="153" t="s">
        <v>170</v>
      </c>
      <c r="F38" s="153"/>
      <c r="G38" s="153" t="s">
        <v>167</v>
      </c>
      <c r="H38" s="153"/>
      <c r="I38" s="153"/>
      <c r="J38" s="154">
        <f>F_Inputs!G10</f>
        <v>95.7</v>
      </c>
      <c r="K38" s="154">
        <f>F_Inputs!H10</f>
        <v>98</v>
      </c>
      <c r="L38" s="154">
        <f>F_Inputs!I10</f>
        <v>99.6</v>
      </c>
      <c r="M38" s="154">
        <f>F_Inputs!J10</f>
        <v>100</v>
      </c>
      <c r="N38" s="154">
        <f>F_Inputs!K10</f>
        <v>100.9</v>
      </c>
      <c r="O38" s="154">
        <f>F_Inputs!L10</f>
        <v>103.5</v>
      </c>
      <c r="P38" s="154">
        <f>F_Inputs!M10</f>
        <v>105.9</v>
      </c>
      <c r="Q38" s="154">
        <f>F_Inputs!N10</f>
        <v>107.84856</v>
      </c>
      <c r="R38" s="154"/>
      <c r="S38" s="154"/>
      <c r="T38" s="154"/>
      <c r="U38" s="154"/>
    </row>
    <row r="39" spans="1:21" ht="12.75" customHeight="1" hidden="1" outlineLevel="1">
      <c r="A39" s="4" t="str">
        <f>F_Inputs!B11</f>
        <v>BB3905AT</v>
      </c>
      <c r="B39" s="2"/>
      <c r="C39" s="5"/>
      <c r="E39" s="153" t="s">
        <v>171</v>
      </c>
      <c r="F39" s="153"/>
      <c r="G39" s="153" t="s">
        <v>167</v>
      </c>
      <c r="H39" s="153"/>
      <c r="I39" s="153"/>
      <c r="J39" s="154">
        <f>F_Inputs!G11</f>
        <v>96.1</v>
      </c>
      <c r="K39" s="154">
        <f>F_Inputs!H11</f>
        <v>98.4</v>
      </c>
      <c r="L39" s="154">
        <f>F_Inputs!I11</f>
        <v>99.9</v>
      </c>
      <c r="M39" s="154">
        <f>F_Inputs!J11</f>
        <v>100.3</v>
      </c>
      <c r="N39" s="154">
        <f>F_Inputs!K11</f>
        <v>101.2</v>
      </c>
      <c r="O39" s="154">
        <f>F_Inputs!L11</f>
        <v>104</v>
      </c>
      <c r="P39" s="154">
        <f>F_Inputs!M11</f>
        <v>106.5</v>
      </c>
      <c r="Q39" s="154">
        <f>F_Inputs!N11</f>
        <v>108.40635</v>
      </c>
      <c r="R39" s="154"/>
      <c r="S39" s="154"/>
      <c r="T39" s="154"/>
      <c r="U39" s="154"/>
    </row>
    <row r="40" spans="1:21" ht="12.75" customHeight="1" hidden="1" outlineLevel="1">
      <c r="A40" s="4" t="str">
        <f>F_Inputs!B12</f>
        <v>BB3905SR</v>
      </c>
      <c r="B40" s="2"/>
      <c r="C40" s="5"/>
      <c r="E40" s="153" t="s">
        <v>172</v>
      </c>
      <c r="F40" s="153"/>
      <c r="G40" s="153" t="s">
        <v>167</v>
      </c>
      <c r="H40" s="153"/>
      <c r="I40" s="153"/>
      <c r="J40" s="154">
        <f>F_Inputs!G12</f>
        <v>96.4</v>
      </c>
      <c r="K40" s="154">
        <f>F_Inputs!H12</f>
        <v>98.7</v>
      </c>
      <c r="L40" s="154">
        <f>F_Inputs!I12</f>
        <v>100</v>
      </c>
      <c r="M40" s="154">
        <f>F_Inputs!J12</f>
        <v>100.2</v>
      </c>
      <c r="N40" s="154">
        <f>F_Inputs!K12</f>
        <v>101.5</v>
      </c>
      <c r="O40" s="154">
        <f>F_Inputs!L12</f>
        <v>104.3</v>
      </c>
      <c r="P40" s="154">
        <f>F_Inputs!M12</f>
        <v>106.6</v>
      </c>
      <c r="Q40" s="154">
        <f>F_Inputs!N12</f>
        <v>108.52946</v>
      </c>
      <c r="R40" s="154"/>
      <c r="S40" s="154"/>
      <c r="T40" s="154"/>
      <c r="U40" s="154"/>
    </row>
    <row r="41" spans="1:21" ht="12.75" customHeight="1" hidden="1" outlineLevel="1">
      <c r="A41" s="4" t="str">
        <f>F_Inputs!B13</f>
        <v>BB3905OR</v>
      </c>
      <c r="B41" s="2"/>
      <c r="C41" s="5"/>
      <c r="E41" s="153" t="s">
        <v>173</v>
      </c>
      <c r="F41" s="153"/>
      <c r="G41" s="153" t="s">
        <v>167</v>
      </c>
      <c r="H41" s="153"/>
      <c r="I41" s="153"/>
      <c r="J41" s="154">
        <f>F_Inputs!G13</f>
        <v>96.8</v>
      </c>
      <c r="K41" s="154">
        <f>F_Inputs!H13</f>
        <v>98.8</v>
      </c>
      <c r="L41" s="154">
        <f>F_Inputs!I13</f>
        <v>100.1</v>
      </c>
      <c r="M41" s="154">
        <f>F_Inputs!J13</f>
        <v>100.3</v>
      </c>
      <c r="N41" s="154">
        <f>F_Inputs!K13</f>
        <v>101.6</v>
      </c>
      <c r="O41" s="154">
        <f>F_Inputs!L13</f>
        <v>104.4</v>
      </c>
      <c r="P41" s="154">
        <f>F_Inputs!M13</f>
        <v>106.7</v>
      </c>
      <c r="Q41" s="154">
        <f>F_Inputs!N13</f>
        <v>108.44988</v>
      </c>
      <c r="R41" s="154"/>
      <c r="S41" s="154"/>
      <c r="T41" s="154"/>
      <c r="U41" s="154"/>
    </row>
    <row r="42" spans="1:21" ht="12.75" customHeight="1" hidden="1" outlineLevel="1">
      <c r="A42" s="4" t="str">
        <f>F_Inputs!B14</f>
        <v>BB3905NR</v>
      </c>
      <c r="B42" s="2"/>
      <c r="C42" s="5"/>
      <c r="E42" s="153" t="s">
        <v>174</v>
      </c>
      <c r="F42" s="153"/>
      <c r="G42" s="153" t="s">
        <v>167</v>
      </c>
      <c r="H42" s="153"/>
      <c r="I42" s="153"/>
      <c r="J42" s="154">
        <f>F_Inputs!G14</f>
        <v>97</v>
      </c>
      <c r="K42" s="154">
        <f>F_Inputs!H14</f>
        <v>98.8</v>
      </c>
      <c r="L42" s="154">
        <f>F_Inputs!I14</f>
        <v>99.9</v>
      </c>
      <c r="M42" s="154">
        <f>F_Inputs!J14</f>
        <v>100.3</v>
      </c>
      <c r="N42" s="154">
        <f>F_Inputs!K14</f>
        <v>101.8</v>
      </c>
      <c r="O42" s="154">
        <f>F_Inputs!L14</f>
        <v>104.7</v>
      </c>
      <c r="P42" s="154">
        <f>F_Inputs!M14</f>
        <v>106.9</v>
      </c>
      <c r="Q42" s="154">
        <f>F_Inputs!N14</f>
        <v>108.65316</v>
      </c>
      <c r="R42" s="154"/>
      <c r="S42" s="154"/>
      <c r="T42" s="154"/>
      <c r="U42" s="154"/>
    </row>
    <row r="43" spans="1:21" ht="12.75" customHeight="1" hidden="1" outlineLevel="1">
      <c r="A43" s="4" t="str">
        <f>F_Inputs!B15</f>
        <v>BB3905DR</v>
      </c>
      <c r="B43" s="2"/>
      <c r="C43" s="5"/>
      <c r="E43" s="153" t="s">
        <v>175</v>
      </c>
      <c r="F43" s="153"/>
      <c r="G43" s="153" t="s">
        <v>167</v>
      </c>
      <c r="H43" s="153"/>
      <c r="I43" s="153"/>
      <c r="J43" s="154">
        <f>F_Inputs!G15</f>
        <v>97.3</v>
      </c>
      <c r="K43" s="154">
        <f>F_Inputs!H15</f>
        <v>99.2</v>
      </c>
      <c r="L43" s="154">
        <f>F_Inputs!I15</f>
        <v>99.9</v>
      </c>
      <c r="M43" s="154">
        <f>F_Inputs!J15</f>
        <v>100.4</v>
      </c>
      <c r="N43" s="154">
        <f>F_Inputs!K15</f>
        <v>102.2</v>
      </c>
      <c r="O43" s="154">
        <f>F_Inputs!L15</f>
        <v>105</v>
      </c>
      <c r="P43" s="154">
        <f>F_Inputs!M15</f>
        <v>107.1</v>
      </c>
      <c r="Q43" s="154">
        <f>F_Inputs!N15</f>
        <v>108.95283</v>
      </c>
      <c r="R43" s="154"/>
      <c r="S43" s="154"/>
      <c r="T43" s="154"/>
      <c r="U43" s="154"/>
    </row>
    <row r="44" spans="1:21" ht="12.75" customHeight="1" hidden="1" outlineLevel="1">
      <c r="A44" s="4" t="str">
        <f>F_Inputs!B16</f>
        <v>BB3905JY</v>
      </c>
      <c r="B44" s="2"/>
      <c r="C44" s="5"/>
      <c r="E44" s="153" t="s">
        <v>176</v>
      </c>
      <c r="F44" s="153"/>
      <c r="G44" s="153" t="s">
        <v>167</v>
      </c>
      <c r="H44" s="153"/>
      <c r="I44" s="153"/>
      <c r="J44" s="154">
        <f>F_Inputs!G16</f>
        <v>97</v>
      </c>
      <c r="K44" s="154">
        <f>F_Inputs!H16</f>
        <v>98.7</v>
      </c>
      <c r="L44" s="154">
        <f>F_Inputs!I16</f>
        <v>99.2</v>
      </c>
      <c r="M44" s="154">
        <f>F_Inputs!J16</f>
        <v>99.9</v>
      </c>
      <c r="N44" s="154">
        <f>F_Inputs!K16</f>
        <v>101.8</v>
      </c>
      <c r="O44" s="154">
        <f>F_Inputs!L16</f>
        <v>104.5</v>
      </c>
      <c r="P44" s="154">
        <f>F_Inputs!M16</f>
        <v>106.4</v>
      </c>
      <c r="Q44" s="154">
        <f>F_Inputs!N16</f>
        <v>108.69824000000001</v>
      </c>
      <c r="R44" s="154"/>
      <c r="S44" s="154"/>
      <c r="T44" s="154"/>
      <c r="U44" s="154"/>
    </row>
    <row r="45" spans="1:21" ht="12.75" customHeight="1" hidden="1" outlineLevel="1">
      <c r="A45" s="4" t="str">
        <f>F_Inputs!B17</f>
        <v>BB3905FY</v>
      </c>
      <c r="B45" s="2"/>
      <c r="C45" s="5"/>
      <c r="E45" s="153" t="s">
        <v>177</v>
      </c>
      <c r="F45" s="153"/>
      <c r="G45" s="153" t="s">
        <v>167</v>
      </c>
      <c r="H45" s="153"/>
      <c r="I45" s="153"/>
      <c r="J45" s="154">
        <f>F_Inputs!G17</f>
        <v>97.5</v>
      </c>
      <c r="K45" s="154">
        <f>F_Inputs!H17</f>
        <v>99.1</v>
      </c>
      <c r="L45" s="154">
        <f>F_Inputs!I17</f>
        <v>99.5</v>
      </c>
      <c r="M45" s="154">
        <f>F_Inputs!J17</f>
        <v>100.1</v>
      </c>
      <c r="N45" s="154">
        <f>F_Inputs!K17</f>
        <v>102.4</v>
      </c>
      <c r="O45" s="154">
        <f>F_Inputs!L17</f>
        <v>104.9</v>
      </c>
      <c r="P45" s="154">
        <f>F_Inputs!M17</f>
        <v>106.8</v>
      </c>
      <c r="Q45" s="154">
        <f>F_Inputs!N17</f>
        <v>108.88260000000001</v>
      </c>
      <c r="R45" s="154"/>
      <c r="S45" s="154"/>
      <c r="T45" s="154"/>
      <c r="U45" s="154"/>
    </row>
    <row r="46" spans="1:21" ht="12.75" customHeight="1" hidden="1" outlineLevel="1">
      <c r="A46" s="4" t="str">
        <f>F_Inputs!B18</f>
        <v>BB3905MH</v>
      </c>
      <c r="B46" s="4"/>
      <c r="C46" s="5"/>
      <c r="E46" s="153" t="s">
        <v>178</v>
      </c>
      <c r="F46" s="153"/>
      <c r="G46" s="153" t="s">
        <v>167</v>
      </c>
      <c r="H46" s="153"/>
      <c r="I46" s="153"/>
      <c r="J46" s="154">
        <f>F_Inputs!G18</f>
        <v>97.8</v>
      </c>
      <c r="K46" s="154">
        <f>F_Inputs!H18</f>
        <v>99.3</v>
      </c>
      <c r="L46" s="154">
        <f>F_Inputs!I18</f>
        <v>99.6</v>
      </c>
      <c r="M46" s="154">
        <f>F_Inputs!J18</f>
        <v>100.4</v>
      </c>
      <c r="N46" s="154">
        <f>F_Inputs!K18</f>
        <v>102.7</v>
      </c>
      <c r="O46" s="154">
        <f>F_Inputs!L18</f>
        <v>105.1</v>
      </c>
      <c r="P46" s="154">
        <f>F_Inputs!M18</f>
        <v>107.02332999999999</v>
      </c>
      <c r="Q46" s="154">
        <f>F_Inputs!N18</f>
        <v>109.088880269</v>
      </c>
      <c r="R46" s="154"/>
      <c r="S46" s="154"/>
      <c r="T46" s="154"/>
      <c r="U46" s="154"/>
    </row>
    <row r="47" spans="1:21" ht="12.75" customHeight="1" hidden="1" outlineLevel="1">
      <c r="A47" s="4"/>
      <c r="B47" s="2"/>
      <c r="C47" s="5"/>
      <c r="E47" s="5"/>
      <c r="F47" s="1"/>
      <c r="G47"/>
      <c r="H47"/>
      <c r="I47"/>
      <c r="J47" s="5"/>
      <c r="K47" s="5"/>
      <c r="L47" s="5"/>
      <c r="M47" s="5"/>
      <c r="N47" s="5"/>
      <c r="O47" s="5"/>
      <c r="P47" s="5"/>
      <c r="Q47" s="5"/>
      <c r="R47" s="5"/>
      <c r="S47" s="5"/>
      <c r="T47" s="5"/>
      <c r="U47" s="5"/>
    </row>
    <row r="48" spans="1:21" s="149" customFormat="1" ht="12.75" hidden="1" outlineLevel="1">
      <c r="A48" s="163"/>
      <c r="B48" s="163"/>
      <c r="C48" s="164"/>
      <c r="D48" s="165"/>
      <c r="E48" s="156" t="s">
        <v>179</v>
      </c>
      <c r="F48" s="156"/>
      <c r="G48" s="156" t="s">
        <v>180</v>
      </c>
      <c r="H48" s="156"/>
      <c r="I48" s="156"/>
      <c r="J48" s="155"/>
      <c r="K48" s="155"/>
      <c r="L48" s="155"/>
      <c r="M48" s="155"/>
      <c r="N48" s="155"/>
      <c r="O48" s="155"/>
      <c r="P48" s="155"/>
      <c r="Q48" s="155"/>
      <c r="R48" s="155"/>
      <c r="S48" s="155"/>
      <c r="T48" s="155"/>
      <c r="U48" s="155"/>
    </row>
    <row r="49" spans="1:21" ht="12.75" customHeight="1" hidden="1" outlineLevel="1">
      <c r="A49" s="4"/>
      <c r="B49" s="2"/>
      <c r="C49" s="5"/>
      <c r="E49" s="5"/>
      <c r="F49" s="1"/>
      <c r="G49"/>
      <c r="H49"/>
      <c r="I49"/>
      <c r="J49" s="5"/>
      <c r="K49" s="5"/>
      <c r="L49" s="5"/>
      <c r="M49" s="5"/>
      <c r="N49" s="5"/>
      <c r="O49" s="5"/>
      <c r="P49" s="5"/>
      <c r="Q49" s="5"/>
      <c r="R49" s="5"/>
      <c r="S49" s="5"/>
      <c r="T49" s="5"/>
      <c r="U49" s="5"/>
    </row>
    <row r="50" spans="1:8" ht="12.75" customHeight="1" hidden="1" outlineLevel="1">
      <c r="A50" s="4"/>
      <c r="B50" s="32" t="s">
        <v>181</v>
      </c>
      <c r="C50" s="32"/>
      <c r="D50" s="33"/>
      <c r="E50" s="33"/>
      <c r="F50" s="27"/>
      <c r="G50" s="28"/>
      <c r="H50" s="28"/>
    </row>
    <row r="51" spans="1:21" ht="12.75" customHeight="1" hidden="1" outlineLevel="1">
      <c r="A51" s="4"/>
      <c r="B51" s="2"/>
      <c r="C51" s="5"/>
      <c r="E51" s="5"/>
      <c r="F51" s="1"/>
      <c r="G51"/>
      <c r="H51"/>
      <c r="I51"/>
      <c r="J51" s="5"/>
      <c r="K51" s="5"/>
      <c r="L51" s="5"/>
      <c r="M51" s="5"/>
      <c r="N51" s="5"/>
      <c r="O51" s="5"/>
      <c r="P51" s="5"/>
      <c r="Q51" s="5"/>
      <c r="R51" s="5"/>
      <c r="S51" s="5"/>
      <c r="T51" s="5"/>
      <c r="U51" s="5"/>
    </row>
    <row r="52" spans="1:21" ht="12.75" customHeight="1" hidden="1" outlineLevel="1">
      <c r="A52" s="4" t="str">
        <f>F_Inputs!B19</f>
        <v>BB3805AL</v>
      </c>
      <c r="B52" s="4"/>
      <c r="C52" s="5"/>
      <c r="E52" s="153" t="s">
        <v>182</v>
      </c>
      <c r="F52" s="153"/>
      <c r="G52" s="153" t="s">
        <v>167</v>
      </c>
      <c r="H52" s="153"/>
      <c r="I52" s="153"/>
      <c r="J52" s="154">
        <f>F_Inputs!G19</f>
        <v>242.5</v>
      </c>
      <c r="K52" s="154">
        <f>F_Inputs!H19</f>
        <v>249.5</v>
      </c>
      <c r="L52" s="154">
        <f>F_Inputs!I19</f>
        <v>255.7</v>
      </c>
      <c r="M52" s="154">
        <f>F_Inputs!J19</f>
        <v>258</v>
      </c>
      <c r="N52" s="154">
        <f>F_Inputs!K19</f>
        <v>261.4</v>
      </c>
      <c r="O52" s="154">
        <f>F_Inputs!L19</f>
        <v>270.6</v>
      </c>
      <c r="P52" s="154">
        <f>F_Inputs!M19</f>
        <v>279.7</v>
      </c>
      <c r="Q52" s="154">
        <f>F_Inputs!N19</f>
        <v>287.6</v>
      </c>
      <c r="R52" s="154"/>
      <c r="S52" s="154"/>
      <c r="T52" s="154"/>
      <c r="U52" s="154"/>
    </row>
    <row r="53" spans="1:21" ht="12.75" customHeight="1" hidden="1" outlineLevel="1">
      <c r="A53" s="4" t="str">
        <f>F_Inputs!B20</f>
        <v>BB3805MY</v>
      </c>
      <c r="B53" s="4"/>
      <c r="C53" s="5"/>
      <c r="E53" s="153" t="s">
        <v>183</v>
      </c>
      <c r="F53" s="153"/>
      <c r="G53" s="153" t="s">
        <v>167</v>
      </c>
      <c r="H53" s="153"/>
      <c r="I53" s="153"/>
      <c r="J53" s="154">
        <f>F_Inputs!G20</f>
        <v>242.4</v>
      </c>
      <c r="K53" s="154">
        <f>F_Inputs!H20</f>
        <v>250</v>
      </c>
      <c r="L53" s="154">
        <f>F_Inputs!I20</f>
        <v>255.9</v>
      </c>
      <c r="M53" s="154">
        <f>F_Inputs!J20</f>
        <v>258.5</v>
      </c>
      <c r="N53" s="154">
        <f>F_Inputs!K20</f>
        <v>262.1</v>
      </c>
      <c r="O53" s="154">
        <f>F_Inputs!L20</f>
        <v>271.7</v>
      </c>
      <c r="P53" s="154">
        <f>F_Inputs!M20</f>
        <v>280.7</v>
      </c>
      <c r="Q53" s="154">
        <f>F_Inputs!N20</f>
        <v>288.3</v>
      </c>
      <c r="R53" s="154"/>
      <c r="S53" s="154"/>
      <c r="T53" s="154"/>
      <c r="U53" s="154"/>
    </row>
    <row r="54" spans="1:21" ht="12.75" customHeight="1" hidden="1" outlineLevel="1">
      <c r="A54" s="4" t="str">
        <f>F_Inputs!B21</f>
        <v>BB3805JN</v>
      </c>
      <c r="B54" s="4"/>
      <c r="C54" s="5"/>
      <c r="E54" s="153" t="s">
        <v>184</v>
      </c>
      <c r="F54" s="153"/>
      <c r="G54" s="153" t="s">
        <v>167</v>
      </c>
      <c r="H54" s="153"/>
      <c r="I54" s="153"/>
      <c r="J54" s="154">
        <f>F_Inputs!G21</f>
        <v>241.8</v>
      </c>
      <c r="K54" s="154">
        <f>F_Inputs!H21</f>
        <v>249.7</v>
      </c>
      <c r="L54" s="154">
        <f>F_Inputs!I21</f>
        <v>256.3</v>
      </c>
      <c r="M54" s="154">
        <f>F_Inputs!J21</f>
        <v>258.9</v>
      </c>
      <c r="N54" s="154">
        <f>F_Inputs!K21</f>
        <v>263.1</v>
      </c>
      <c r="O54" s="154">
        <f>F_Inputs!L21</f>
        <v>272.3</v>
      </c>
      <c r="P54" s="154">
        <f>F_Inputs!M21</f>
        <v>281.5</v>
      </c>
      <c r="Q54" s="154">
        <f>F_Inputs!N21</f>
        <v>289.1</v>
      </c>
      <c r="R54" s="154"/>
      <c r="S54" s="154"/>
      <c r="T54" s="154"/>
      <c r="U54" s="154"/>
    </row>
    <row r="55" spans="1:21" ht="12.75" customHeight="1" hidden="1" outlineLevel="1">
      <c r="A55" s="4" t="str">
        <f>F_Inputs!B22</f>
        <v>BB3805JL</v>
      </c>
      <c r="B55" s="4"/>
      <c r="C55" s="5"/>
      <c r="E55" s="153" t="s">
        <v>185</v>
      </c>
      <c r="F55" s="153"/>
      <c r="G55" s="153" t="s">
        <v>167</v>
      </c>
      <c r="H55" s="153"/>
      <c r="I55" s="153"/>
      <c r="J55" s="154">
        <f>F_Inputs!G22</f>
        <v>242.1</v>
      </c>
      <c r="K55" s="154">
        <f>F_Inputs!H22</f>
        <v>249.7</v>
      </c>
      <c r="L55" s="154">
        <f>F_Inputs!I22</f>
        <v>256</v>
      </c>
      <c r="M55" s="154">
        <f>F_Inputs!J22</f>
        <v>258.6</v>
      </c>
      <c r="N55" s="154">
        <f>F_Inputs!K22</f>
        <v>263.4</v>
      </c>
      <c r="O55" s="154">
        <f>F_Inputs!L22</f>
        <v>272.9</v>
      </c>
      <c r="P55" s="154">
        <f>F_Inputs!M22</f>
        <v>281.7</v>
      </c>
      <c r="Q55" s="154">
        <f>F_Inputs!N22</f>
        <v>289.2</v>
      </c>
      <c r="R55" s="154"/>
      <c r="S55" s="154"/>
      <c r="T55" s="154"/>
      <c r="U55" s="154"/>
    </row>
    <row r="56" spans="1:21" ht="12.75" customHeight="1" hidden="1" outlineLevel="1">
      <c r="A56" s="4" t="str">
        <f>F_Inputs!B23</f>
        <v>BB3805AT</v>
      </c>
      <c r="B56" s="4"/>
      <c r="C56" s="5"/>
      <c r="E56" s="153" t="s">
        <v>186</v>
      </c>
      <c r="F56" s="153"/>
      <c r="G56" s="153" t="s">
        <v>167</v>
      </c>
      <c r="H56" s="153"/>
      <c r="I56" s="153"/>
      <c r="J56" s="154">
        <f>F_Inputs!G23</f>
        <v>243</v>
      </c>
      <c r="K56" s="154">
        <f>F_Inputs!H23</f>
        <v>251</v>
      </c>
      <c r="L56" s="154">
        <f>F_Inputs!I23</f>
        <v>257</v>
      </c>
      <c r="M56" s="154">
        <f>F_Inputs!J23</f>
        <v>259.8</v>
      </c>
      <c r="N56" s="154">
        <f>F_Inputs!K23</f>
        <v>264.4</v>
      </c>
      <c r="O56" s="154">
        <f>F_Inputs!L23</f>
        <v>274.7</v>
      </c>
      <c r="P56" s="154">
        <f>F_Inputs!M23</f>
        <v>284.2</v>
      </c>
      <c r="Q56" s="154">
        <f>F_Inputs!N23</f>
        <v>291.3</v>
      </c>
      <c r="R56" s="154"/>
      <c r="S56" s="154"/>
      <c r="T56" s="154"/>
      <c r="U56" s="154"/>
    </row>
    <row r="57" spans="1:21" ht="12.75" customHeight="1" hidden="1" outlineLevel="1">
      <c r="A57" s="4" t="str">
        <f>F_Inputs!B24</f>
        <v>BB3805SR</v>
      </c>
      <c r="B57" s="4"/>
      <c r="C57" s="5"/>
      <c r="E57" s="153" t="s">
        <v>187</v>
      </c>
      <c r="F57" s="153"/>
      <c r="G57" s="153" t="s">
        <v>167</v>
      </c>
      <c r="H57" s="153"/>
      <c r="I57" s="153"/>
      <c r="J57" s="154">
        <f>F_Inputs!G24</f>
        <v>244.2</v>
      </c>
      <c r="K57" s="154">
        <f>F_Inputs!H24</f>
        <v>251.9</v>
      </c>
      <c r="L57" s="154">
        <f>F_Inputs!I24</f>
        <v>257.6</v>
      </c>
      <c r="M57" s="154">
        <f>F_Inputs!J24</f>
        <v>259.6</v>
      </c>
      <c r="N57" s="154">
        <f>F_Inputs!K24</f>
        <v>264.9</v>
      </c>
      <c r="O57" s="154">
        <f>F_Inputs!L24</f>
        <v>275.1</v>
      </c>
      <c r="P57" s="154">
        <f>F_Inputs!M24</f>
        <v>284.1</v>
      </c>
      <c r="Q57" s="154">
        <f>F_Inputs!N24</f>
        <v>291.2</v>
      </c>
      <c r="R57" s="154"/>
      <c r="S57" s="154"/>
      <c r="T57" s="154"/>
      <c r="U57" s="154"/>
    </row>
    <row r="58" spans="1:21" ht="12.75" customHeight="1" hidden="1" outlineLevel="1">
      <c r="A58" s="4" t="str">
        <f>F_Inputs!B25</f>
        <v>BB3805OR</v>
      </c>
      <c r="B58" s="4"/>
      <c r="C58" s="5"/>
      <c r="E58" s="153" t="s">
        <v>188</v>
      </c>
      <c r="F58" s="153"/>
      <c r="G58" s="153" t="s">
        <v>167</v>
      </c>
      <c r="H58" s="153"/>
      <c r="I58" s="153"/>
      <c r="J58" s="154">
        <f>F_Inputs!G25</f>
        <v>245.6</v>
      </c>
      <c r="K58" s="154">
        <f>F_Inputs!H25</f>
        <v>251.9</v>
      </c>
      <c r="L58" s="154">
        <f>F_Inputs!I25</f>
        <v>257.7</v>
      </c>
      <c r="M58" s="154">
        <f>F_Inputs!J25</f>
        <v>259.5</v>
      </c>
      <c r="N58" s="154">
        <f>F_Inputs!K25</f>
        <v>264.8</v>
      </c>
      <c r="O58" s="154">
        <f>F_Inputs!L25</f>
        <v>275.3</v>
      </c>
      <c r="P58" s="154">
        <f>F_Inputs!M25</f>
        <v>284.5</v>
      </c>
      <c r="Q58" s="154">
        <f>F_Inputs!N25</f>
        <v>291.1</v>
      </c>
      <c r="R58" s="154"/>
      <c r="S58" s="154"/>
      <c r="T58" s="154"/>
      <c r="U58" s="154"/>
    </row>
    <row r="59" spans="1:21" ht="12.75" customHeight="1" hidden="1" outlineLevel="1">
      <c r="A59" s="4" t="str">
        <f>F_Inputs!B26</f>
        <v>BB3805NR</v>
      </c>
      <c r="B59" s="4"/>
      <c r="C59" s="5"/>
      <c r="E59" s="153" t="s">
        <v>189</v>
      </c>
      <c r="F59" s="153"/>
      <c r="G59" s="153" t="s">
        <v>167</v>
      </c>
      <c r="H59" s="153"/>
      <c r="I59" s="153"/>
      <c r="J59" s="154">
        <f>F_Inputs!G26</f>
        <v>245.6</v>
      </c>
      <c r="K59" s="154">
        <f>F_Inputs!H26</f>
        <v>252.1</v>
      </c>
      <c r="L59" s="154">
        <f>F_Inputs!I26</f>
        <v>257.1</v>
      </c>
      <c r="M59" s="154">
        <f>F_Inputs!J26</f>
        <v>259.8</v>
      </c>
      <c r="N59" s="154">
        <f>F_Inputs!K26</f>
        <v>265.5</v>
      </c>
      <c r="O59" s="154">
        <f>F_Inputs!L26</f>
        <v>275.8</v>
      </c>
      <c r="P59" s="154">
        <f>F_Inputs!M26</f>
        <v>284.6</v>
      </c>
      <c r="Q59" s="154">
        <f>F_Inputs!N26</f>
        <v>291.2</v>
      </c>
      <c r="R59" s="154"/>
      <c r="S59" s="154"/>
      <c r="T59" s="154"/>
      <c r="U59" s="154"/>
    </row>
    <row r="60" spans="1:21" ht="12.75" customHeight="1" hidden="1" outlineLevel="1">
      <c r="A60" s="4" t="str">
        <f>F_Inputs!B27</f>
        <v>BB3805DR</v>
      </c>
      <c r="B60" s="4"/>
      <c r="C60" s="5"/>
      <c r="E60" s="153" t="s">
        <v>190</v>
      </c>
      <c r="F60" s="153"/>
      <c r="G60" s="153" t="s">
        <v>167</v>
      </c>
      <c r="H60" s="153"/>
      <c r="I60" s="153"/>
      <c r="J60" s="154">
        <f>F_Inputs!G27</f>
        <v>246.8</v>
      </c>
      <c r="K60" s="154">
        <f>F_Inputs!H27</f>
        <v>253.4</v>
      </c>
      <c r="L60" s="154">
        <f>F_Inputs!I27</f>
        <v>257.5</v>
      </c>
      <c r="M60" s="154">
        <f>F_Inputs!J27</f>
        <v>260.6</v>
      </c>
      <c r="N60" s="154">
        <f>F_Inputs!K27</f>
        <v>267.1</v>
      </c>
      <c r="O60" s="154">
        <f>F_Inputs!L27</f>
        <v>278.1</v>
      </c>
      <c r="P60" s="154">
        <f>F_Inputs!M27</f>
        <v>285.6</v>
      </c>
      <c r="Q60" s="154">
        <f>F_Inputs!N27</f>
        <v>292.8</v>
      </c>
      <c r="R60" s="154"/>
      <c r="S60" s="154"/>
      <c r="T60" s="154"/>
      <c r="U60" s="154"/>
    </row>
    <row r="61" spans="1:21" ht="12.75" customHeight="1" hidden="1" outlineLevel="1">
      <c r="A61" s="4" t="str">
        <f>F_Inputs!B28</f>
        <v>BB3805JY</v>
      </c>
      <c r="B61" s="4"/>
      <c r="C61" s="5"/>
      <c r="E61" s="153" t="s">
        <v>191</v>
      </c>
      <c r="F61" s="153"/>
      <c r="G61" s="153" t="s">
        <v>167</v>
      </c>
      <c r="H61" s="153"/>
      <c r="I61" s="153"/>
      <c r="J61" s="154">
        <f>F_Inputs!G28</f>
        <v>245.8</v>
      </c>
      <c r="K61" s="154">
        <f>F_Inputs!H28</f>
        <v>252.6</v>
      </c>
      <c r="L61" s="154">
        <f>F_Inputs!I28</f>
        <v>255.4</v>
      </c>
      <c r="M61" s="154">
        <f>F_Inputs!J28</f>
        <v>258.8</v>
      </c>
      <c r="N61" s="154">
        <f>F_Inputs!K28</f>
        <v>265.5</v>
      </c>
      <c r="O61" s="154">
        <f>F_Inputs!L28</f>
        <v>276</v>
      </c>
      <c r="P61" s="154">
        <f>F_Inputs!M28</f>
        <v>283</v>
      </c>
      <c r="Q61" s="154">
        <f>F_Inputs!N28</f>
        <v>290.7</v>
      </c>
      <c r="R61" s="154"/>
      <c r="S61" s="154"/>
      <c r="T61" s="154"/>
      <c r="U61" s="154"/>
    </row>
    <row r="62" spans="1:21" ht="12.75" customHeight="1" hidden="1" outlineLevel="1">
      <c r="A62" s="4" t="str">
        <f>F_Inputs!B29</f>
        <v>BB3805FY</v>
      </c>
      <c r="B62" s="4"/>
      <c r="C62" s="5"/>
      <c r="E62" s="153" t="s">
        <v>192</v>
      </c>
      <c r="F62" s="153"/>
      <c r="G62" s="153" t="s">
        <v>167</v>
      </c>
      <c r="H62" s="153"/>
      <c r="I62" s="153"/>
      <c r="J62" s="154">
        <f>F_Inputs!G29</f>
        <v>247.6</v>
      </c>
      <c r="K62" s="154">
        <f>F_Inputs!H29</f>
        <v>254.2</v>
      </c>
      <c r="L62" s="154">
        <f>F_Inputs!I29</f>
        <v>256.7</v>
      </c>
      <c r="M62" s="154">
        <f>F_Inputs!J29</f>
        <v>260</v>
      </c>
      <c r="N62" s="154">
        <f>F_Inputs!K29</f>
        <v>268.4</v>
      </c>
      <c r="O62" s="154">
        <f>F_Inputs!L29</f>
        <v>278.1</v>
      </c>
      <c r="P62" s="154">
        <f>F_Inputs!M29</f>
        <v>285</v>
      </c>
      <c r="Q62" s="154">
        <f>F_Inputs!N29</f>
        <v>292.8</v>
      </c>
      <c r="R62" s="154"/>
      <c r="S62" s="154"/>
      <c r="T62" s="154"/>
      <c r="U62" s="154"/>
    </row>
    <row r="63" spans="1:21" ht="12.75" customHeight="1" hidden="1" outlineLevel="1">
      <c r="A63" s="4" t="str">
        <f>F_Inputs!B30</f>
        <v>BB3805MH</v>
      </c>
      <c r="B63" s="4"/>
      <c r="C63" s="5"/>
      <c r="E63" s="153" t="s">
        <v>193</v>
      </c>
      <c r="F63" s="153"/>
      <c r="G63" s="153" t="s">
        <v>167</v>
      </c>
      <c r="H63" s="153"/>
      <c r="I63" s="153"/>
      <c r="J63" s="154">
        <f>F_Inputs!G30</f>
        <v>248.7</v>
      </c>
      <c r="K63" s="154">
        <f>F_Inputs!H30</f>
        <v>254.8</v>
      </c>
      <c r="L63" s="154">
        <f>F_Inputs!I30</f>
        <v>257.1</v>
      </c>
      <c r="M63" s="154">
        <f>F_Inputs!J30</f>
        <v>261.1</v>
      </c>
      <c r="N63" s="154">
        <f>F_Inputs!K30</f>
        <v>269.3</v>
      </c>
      <c r="O63" s="154">
        <f>F_Inputs!L30</f>
        <v>278.3</v>
      </c>
      <c r="P63" s="154">
        <f>F_Inputs!M30</f>
        <v>285.1</v>
      </c>
      <c r="Q63" s="154">
        <f>F_Inputs!N30</f>
        <v>293.2</v>
      </c>
      <c r="R63" s="154"/>
      <c r="S63" s="154"/>
      <c r="T63" s="154"/>
      <c r="U63" s="154"/>
    </row>
    <row r="64" spans="1:21" ht="12.75" customHeight="1" hidden="1" outlineLevel="1">
      <c r="A64" s="4"/>
      <c r="B64" s="2"/>
      <c r="C64" s="5"/>
      <c r="E64" s="5"/>
      <c r="F64" s="1"/>
      <c r="G64"/>
      <c r="H64"/>
      <c r="I64"/>
      <c r="J64" s="5"/>
      <c r="K64" s="5"/>
      <c r="L64" s="5"/>
      <c r="M64" s="5"/>
      <c r="N64" s="5"/>
      <c r="O64" s="5"/>
      <c r="P64" s="5"/>
      <c r="Q64" s="5"/>
      <c r="R64" s="5"/>
      <c r="S64" s="5"/>
      <c r="T64" s="5"/>
      <c r="U64" s="5"/>
    </row>
    <row r="65" spans="1:21" s="149" customFormat="1" ht="12.75" hidden="1" outlineLevel="1">
      <c r="A65" s="163"/>
      <c r="B65" s="163"/>
      <c r="C65" s="164"/>
      <c r="D65" s="165"/>
      <c r="E65" s="156" t="s">
        <v>194</v>
      </c>
      <c r="F65" s="156"/>
      <c r="G65" s="156" t="s">
        <v>180</v>
      </c>
      <c r="H65" s="156"/>
      <c r="I65" s="156"/>
      <c r="J65" s="155"/>
      <c r="K65" s="155"/>
      <c r="L65" s="155"/>
      <c r="M65" s="155"/>
      <c r="N65" s="155"/>
      <c r="O65" s="155"/>
      <c r="P65" s="155"/>
      <c r="Q65" s="155"/>
      <c r="R65" s="155"/>
      <c r="S65" s="155"/>
      <c r="T65" s="155"/>
      <c r="U65" s="155"/>
    </row>
    <row r="66" spans="1:21" ht="12.75" customHeight="1" hidden="1" outlineLevel="1">
      <c r="A66" s="4"/>
      <c r="B66" s="2"/>
      <c r="C66" s="5"/>
      <c r="E66" s="5"/>
      <c r="F66" s="1"/>
      <c r="G66"/>
      <c r="H66"/>
      <c r="I66"/>
      <c r="J66" s="5"/>
      <c r="K66" s="5"/>
      <c r="L66" s="5"/>
      <c r="M66" s="5"/>
      <c r="N66" s="5"/>
      <c r="O66" s="5"/>
      <c r="P66" s="5"/>
      <c r="Q66" s="5"/>
      <c r="R66" s="5"/>
      <c r="S66" s="5"/>
      <c r="T66" s="5"/>
      <c r="U66" s="5"/>
    </row>
    <row r="67" spans="1:8" ht="12.75" customHeight="1" hidden="1" outlineLevel="1">
      <c r="A67" s="4"/>
      <c r="B67" s="32" t="s">
        <v>195</v>
      </c>
      <c r="C67" s="32"/>
      <c r="D67" s="33"/>
      <c r="E67" s="33"/>
      <c r="F67" s="27"/>
      <c r="G67" s="28"/>
      <c r="H67" s="28"/>
    </row>
    <row r="68" spans="1:21" ht="12.75" customHeight="1" hidden="1" outlineLevel="1">
      <c r="A68" s="4"/>
      <c r="B68" s="2"/>
      <c r="C68" s="5"/>
      <c r="E68" s="5"/>
      <c r="F68" s="1"/>
      <c r="G68"/>
      <c r="H68"/>
      <c r="I68"/>
      <c r="J68" s="5"/>
      <c r="K68" s="5"/>
      <c r="L68" s="5"/>
      <c r="M68" s="5"/>
      <c r="N68" s="5"/>
      <c r="O68" s="5"/>
      <c r="P68" s="5"/>
      <c r="Q68" s="5"/>
      <c r="R68" s="5"/>
      <c r="S68" s="5"/>
      <c r="T68" s="5"/>
      <c r="U68" s="5"/>
    </row>
    <row r="69" spans="1:21" ht="12.75" customHeight="1" hidden="1" outlineLevel="1">
      <c r="A69" s="4" t="s">
        <v>592</v>
      </c>
      <c r="B69" s="2"/>
      <c r="C69" s="5"/>
      <c r="E69" s="167" t="s">
        <v>196</v>
      </c>
      <c r="F69" s="168">
        <v>2013</v>
      </c>
      <c r="G69" s="140" t="s">
        <v>145</v>
      </c>
      <c r="H69"/>
      <c r="I69"/>
      <c r="J69" s="5"/>
      <c r="K69" s="5"/>
      <c r="L69" s="5"/>
      <c r="M69" s="5"/>
      <c r="N69" s="5"/>
      <c r="O69" s="5"/>
      <c r="P69" s="5"/>
      <c r="Q69" s="5"/>
      <c r="R69" s="5"/>
      <c r="S69" s="5"/>
      <c r="T69" s="5"/>
      <c r="U69" s="5"/>
    </row>
    <row r="70" spans="1:21" ht="12.75" customHeight="1" hidden="1" outlineLevel="1">
      <c r="A70" s="4" t="s">
        <v>593</v>
      </c>
      <c r="B70" s="2"/>
      <c r="C70" s="5"/>
      <c r="E70" s="167" t="s">
        <v>197</v>
      </c>
      <c r="F70" s="168">
        <v>2018</v>
      </c>
      <c r="G70" s="140" t="s">
        <v>145</v>
      </c>
      <c r="H70"/>
      <c r="I70"/>
      <c r="J70" s="5"/>
      <c r="K70" s="5"/>
      <c r="L70" s="5"/>
      <c r="M70" s="5"/>
      <c r="N70" s="5"/>
      <c r="O70" s="5"/>
      <c r="P70" s="5"/>
      <c r="Q70" s="5"/>
      <c r="R70" s="5"/>
      <c r="S70" s="5"/>
      <c r="T70" s="5"/>
      <c r="U70" s="5"/>
    </row>
    <row r="71" spans="1:21" ht="12.75" customHeight="1" hidden="1" outlineLevel="1">
      <c r="A71" s="4" t="s">
        <v>594</v>
      </c>
      <c r="B71" s="2"/>
      <c r="C71" s="5"/>
      <c r="E71" s="167" t="s">
        <v>198</v>
      </c>
      <c r="F71" s="168">
        <v>2018</v>
      </c>
      <c r="G71" s="140" t="s">
        <v>145</v>
      </c>
      <c r="H71"/>
      <c r="I71"/>
      <c r="J71" s="5"/>
      <c r="K71" s="5"/>
      <c r="L71" s="5"/>
      <c r="M71" s="5"/>
      <c r="N71" s="5"/>
      <c r="O71" s="5"/>
      <c r="P71" s="5"/>
      <c r="Q71" s="5"/>
      <c r="R71" s="5"/>
      <c r="S71" s="5"/>
      <c r="T71" s="5"/>
      <c r="U71" s="5"/>
    </row>
    <row r="72" spans="1:21" ht="12.75" customHeight="1" hidden="1" outlineLevel="1">
      <c r="A72" s="4" t="s">
        <v>595</v>
      </c>
      <c r="B72" s="2"/>
      <c r="C72" s="5"/>
      <c r="E72" s="167" t="s">
        <v>199</v>
      </c>
      <c r="F72" s="168">
        <v>2020</v>
      </c>
      <c r="G72" s="140" t="s">
        <v>145</v>
      </c>
      <c r="H72"/>
      <c r="I72"/>
      <c r="J72" s="5"/>
      <c r="K72" s="5"/>
      <c r="L72" s="5"/>
      <c r="M72" s="5"/>
      <c r="N72" s="5"/>
      <c r="O72" s="5"/>
      <c r="P72" s="5"/>
      <c r="Q72" s="5"/>
      <c r="R72" s="5"/>
      <c r="S72" s="5"/>
      <c r="T72" s="5"/>
      <c r="U72" s="5"/>
    </row>
    <row r="73" spans="1:21" ht="12.75" customHeight="1" hidden="1" outlineLevel="1">
      <c r="A73" s="4"/>
      <c r="B73" s="2"/>
      <c r="C73" s="5"/>
      <c r="E73" s="140"/>
      <c r="F73" s="140"/>
      <c r="G73" s="140"/>
      <c r="H73"/>
      <c r="I73"/>
      <c r="J73" s="5"/>
      <c r="K73" s="5"/>
      <c r="L73" s="5"/>
      <c r="M73" s="5"/>
      <c r="N73" s="5"/>
      <c r="O73" s="5"/>
      <c r="P73" s="5"/>
      <c r="Q73" s="5"/>
      <c r="R73" s="5"/>
      <c r="S73" s="5"/>
      <c r="T73" s="5"/>
      <c r="U73" s="5"/>
    </row>
    <row r="74" spans="1:8" ht="12.75" customHeight="1" hidden="1" outlineLevel="1">
      <c r="A74" s="4"/>
      <c r="B74" s="32" t="s">
        <v>200</v>
      </c>
      <c r="C74" s="32"/>
      <c r="D74" s="33"/>
      <c r="E74" s="33"/>
      <c r="F74" s="27"/>
      <c r="G74" s="28"/>
      <c r="H74" s="28"/>
    </row>
    <row r="75" spans="1:21" ht="12.75" customHeight="1" hidden="1" outlineLevel="1">
      <c r="A75" s="4"/>
      <c r="B75" s="2"/>
      <c r="C75" s="5"/>
      <c r="E75" s="5"/>
      <c r="F75" s="1"/>
      <c r="G75"/>
      <c r="H75"/>
      <c r="I75"/>
      <c r="J75" s="5"/>
      <c r="K75" s="5"/>
      <c r="L75" s="5"/>
      <c r="M75" s="5"/>
      <c r="N75" s="5"/>
      <c r="O75" s="5"/>
      <c r="P75" s="5"/>
      <c r="Q75" s="5"/>
      <c r="R75" s="5"/>
      <c r="S75" s="5"/>
      <c r="T75" s="5"/>
      <c r="U75" s="5"/>
    </row>
    <row r="76" spans="1:21" ht="12.75" customHeight="1" hidden="1" outlineLevel="1">
      <c r="A76" s="4" t="s">
        <v>596</v>
      </c>
      <c r="B76" s="2"/>
      <c r="C76" s="5"/>
      <c r="E76" s="140" t="s">
        <v>198</v>
      </c>
      <c r="F76" s="141">
        <v>2020</v>
      </c>
      <c r="G76" s="140" t="s">
        <v>145</v>
      </c>
      <c r="H76"/>
      <c r="I76"/>
      <c r="J76" s="5"/>
      <c r="K76" s="5"/>
      <c r="L76" s="5"/>
      <c r="M76" s="5"/>
      <c r="N76" s="5"/>
      <c r="O76" s="5"/>
      <c r="P76" s="5"/>
      <c r="Q76" s="5"/>
      <c r="R76" s="5"/>
      <c r="S76" s="5"/>
      <c r="T76" s="5"/>
      <c r="U76" s="5"/>
    </row>
    <row r="77" spans="1:21" ht="12.75" customHeight="1" hidden="1" outlineLevel="1">
      <c r="A77" s="4" t="s">
        <v>597</v>
      </c>
      <c r="B77" s="2"/>
      <c r="C77" s="5"/>
      <c r="E77" s="140" t="s">
        <v>201</v>
      </c>
      <c r="F77" s="141">
        <v>2018</v>
      </c>
      <c r="G77" s="140" t="s">
        <v>145</v>
      </c>
      <c r="H77"/>
      <c r="I77"/>
      <c r="J77" s="5"/>
      <c r="K77" s="5"/>
      <c r="L77" s="5"/>
      <c r="M77" s="5"/>
      <c r="N77" s="5"/>
      <c r="O77" s="5"/>
      <c r="P77" s="5"/>
      <c r="Q77" s="5"/>
      <c r="R77" s="5"/>
      <c r="S77" s="5"/>
      <c r="T77" s="5"/>
      <c r="U77" s="5"/>
    </row>
    <row r="78" spans="1:21" ht="12.75" customHeight="1" hidden="1" outlineLevel="1">
      <c r="A78" s="4" t="s">
        <v>598</v>
      </c>
      <c r="B78" s="2"/>
      <c r="C78" s="5"/>
      <c r="E78" s="274" t="s">
        <v>202</v>
      </c>
      <c r="F78" s="141">
        <v>2018</v>
      </c>
      <c r="G78" s="140" t="s">
        <v>145</v>
      </c>
      <c r="H78"/>
      <c r="I78"/>
      <c r="J78" s="5"/>
      <c r="K78" s="5"/>
      <c r="L78" s="5"/>
      <c r="M78" s="5"/>
      <c r="N78" s="5"/>
      <c r="O78" s="5"/>
      <c r="P78" s="5"/>
      <c r="Q78" s="5"/>
      <c r="R78" s="5"/>
      <c r="S78" s="5"/>
      <c r="T78" s="5"/>
      <c r="U78" s="5"/>
    </row>
    <row r="79" spans="1:21" ht="12.75" customHeight="1" hidden="1" outlineLevel="1">
      <c r="A79" s="4"/>
      <c r="B79" s="2"/>
      <c r="C79" s="5"/>
      <c r="E79" s="140"/>
      <c r="F79" s="140"/>
      <c r="G79" s="140"/>
      <c r="H79"/>
      <c r="I79"/>
      <c r="J79" s="5"/>
      <c r="K79" s="5"/>
      <c r="L79" s="5"/>
      <c r="M79" s="5"/>
      <c r="N79" s="5"/>
      <c r="O79" s="5"/>
      <c r="P79" s="5"/>
      <c r="Q79" s="5"/>
      <c r="R79" s="5"/>
      <c r="S79" s="5"/>
      <c r="T79" s="5"/>
      <c r="U79" s="5"/>
    </row>
    <row r="80" spans="1:21" ht="12.75" customHeight="1">
      <c r="A80" s="4"/>
      <c r="B80" s="2"/>
      <c r="C80" s="5"/>
      <c r="E80" s="5"/>
      <c r="F80" s="1"/>
      <c r="G80"/>
      <c r="H80"/>
      <c r="I80"/>
      <c r="J80" s="5"/>
      <c r="K80" s="5"/>
      <c r="L80" s="5"/>
      <c r="M80" s="5"/>
      <c r="N80" s="5"/>
      <c r="O80" s="5"/>
      <c r="P80" s="5"/>
      <c r="Q80" s="5"/>
      <c r="R80" s="5"/>
      <c r="S80" s="5"/>
      <c r="T80" s="5"/>
      <c r="U80" s="5"/>
    </row>
    <row r="81" spans="1:21" ht="12.75" customHeight="1" collapsed="1">
      <c r="A81" s="43" t="s">
        <v>203</v>
      </c>
      <c r="B81" s="43"/>
      <c r="C81" s="44"/>
      <c r="D81" s="43"/>
      <c r="E81" s="43"/>
      <c r="F81" s="43"/>
      <c r="G81" s="43"/>
      <c r="H81" s="43"/>
      <c r="I81" s="43"/>
      <c r="J81" s="43"/>
      <c r="K81" s="43"/>
      <c r="L81" s="43"/>
      <c r="M81" s="43"/>
      <c r="N81" s="43"/>
      <c r="O81" s="43"/>
      <c r="P81" s="43"/>
      <c r="Q81" s="43"/>
      <c r="R81" s="43"/>
      <c r="S81" s="43"/>
      <c r="T81" s="43"/>
      <c r="U81" s="43"/>
    </row>
    <row r="82" spans="3:21" ht="12.75" customHeight="1" hidden="1" outlineLevel="1">
      <c r="C82" s="4"/>
      <c r="D82" s="35"/>
      <c r="E82" s="35"/>
      <c r="F82" s="35"/>
      <c r="G82" s="35"/>
      <c r="H82" s="35"/>
      <c r="I82" s="35"/>
      <c r="J82" s="35"/>
      <c r="K82" s="35"/>
      <c r="L82" s="35"/>
      <c r="M82" s="35"/>
      <c r="N82" s="35"/>
      <c r="O82" s="35"/>
      <c r="P82" s="35"/>
      <c r="Q82" s="35"/>
      <c r="R82" s="35"/>
      <c r="S82" s="35"/>
      <c r="T82" s="35"/>
      <c r="U82" s="35"/>
    </row>
    <row r="83" spans="1:8" ht="12.75" customHeight="1" hidden="1" outlineLevel="1">
      <c r="A83" s="4"/>
      <c r="B83" s="32" t="s">
        <v>204</v>
      </c>
      <c r="C83" s="32"/>
      <c r="D83" s="33"/>
      <c r="E83" s="33"/>
      <c r="F83" s="27"/>
      <c r="G83" s="28"/>
      <c r="H83" s="28"/>
    </row>
    <row r="84" spans="1:21" ht="12.75" customHeight="1" hidden="1" outlineLevel="1">
      <c r="A84" s="2"/>
      <c r="B84" s="2"/>
      <c r="C84" s="5"/>
      <c r="E84" s="5"/>
      <c r="F84" s="1"/>
      <c r="G84"/>
      <c r="H84"/>
      <c r="I84"/>
      <c r="J84" s="5"/>
      <c r="K84" s="5"/>
      <c r="L84" s="5"/>
      <c r="M84" s="5"/>
      <c r="N84" s="5"/>
      <c r="O84" s="5"/>
      <c r="P84" s="5"/>
      <c r="Q84" s="5"/>
      <c r="R84" s="5"/>
      <c r="S84" s="5"/>
      <c r="T84" s="5"/>
      <c r="U84" s="5"/>
    </row>
    <row r="85" spans="1:21" ht="12.75" customHeight="1" hidden="1" outlineLevel="1">
      <c r="A85" s="21" t="str">
        <f>F_Inputs!B31</f>
        <v>APP8001W</v>
      </c>
      <c r="B85" s="2"/>
      <c r="C85" s="5"/>
      <c r="E85" s="170" t="s">
        <v>205</v>
      </c>
      <c r="F85" s="136">
        <f>F_Inputs!N31</f>
        <v>0</v>
      </c>
      <c r="G85" s="170" t="s">
        <v>206</v>
      </c>
      <c r="H85" t="s">
        <v>207</v>
      </c>
      <c r="I85"/>
      <c r="J85" s="5"/>
      <c r="K85" s="5"/>
      <c r="L85" s="5"/>
      <c r="M85" s="5"/>
      <c r="N85" s="5"/>
      <c r="O85" s="5"/>
      <c r="P85" s="5"/>
      <c r="Q85" s="5"/>
      <c r="R85" s="5"/>
      <c r="S85" s="5"/>
      <c r="T85" s="5"/>
      <c r="U85" s="5"/>
    </row>
    <row r="86" spans="1:21" ht="12.75" customHeight="1" hidden="1" outlineLevel="1">
      <c r="A86" s="21" t="str">
        <f>F_Inputs!B32</f>
        <v>C00572_L021</v>
      </c>
      <c r="B86" s="2"/>
      <c r="C86" s="5"/>
      <c r="E86" s="170" t="s">
        <v>208</v>
      </c>
      <c r="F86" s="136">
        <f>F_Inputs!P32</f>
        <v>3.02930223534782</v>
      </c>
      <c r="G86" s="170" t="s">
        <v>206</v>
      </c>
      <c r="H86" t="s">
        <v>207</v>
      </c>
      <c r="I86"/>
      <c r="J86" s="5"/>
      <c r="K86" s="5"/>
      <c r="L86" s="5"/>
      <c r="M86" s="5"/>
      <c r="N86" s="5"/>
      <c r="O86" s="5"/>
      <c r="P86" s="5"/>
      <c r="Q86" s="5"/>
      <c r="R86" s="5"/>
      <c r="S86" s="5"/>
      <c r="T86" s="5"/>
      <c r="U86" s="5"/>
    </row>
    <row r="87" spans="1:21" ht="12.75" customHeight="1" hidden="1" outlineLevel="1">
      <c r="A87" s="21" t="str">
        <f>F_Inputs!B33</f>
        <v>APP25001</v>
      </c>
      <c r="B87" s="2"/>
      <c r="C87" s="5"/>
      <c r="E87" s="298" t="s">
        <v>209</v>
      </c>
      <c r="F87" s="136">
        <f>F_Inputs!P33</f>
        <v>-40.0099985029751</v>
      </c>
      <c r="G87" s="170" t="s">
        <v>206</v>
      </c>
      <c r="H87" t="s">
        <v>207</v>
      </c>
      <c r="I87"/>
      <c r="J87" s="5"/>
      <c r="K87" s="5"/>
      <c r="L87" s="5"/>
      <c r="M87" s="5"/>
      <c r="N87" s="5"/>
      <c r="O87" s="5"/>
      <c r="P87" s="5"/>
      <c r="Q87" s="5"/>
      <c r="R87" s="5"/>
      <c r="S87" s="5"/>
      <c r="T87" s="5"/>
      <c r="U87" s="5"/>
    </row>
    <row r="88" spans="1:21" ht="12.75" customHeight="1" hidden="1" outlineLevel="1">
      <c r="A88" s="21" t="str">
        <f>F_Inputs!B34</f>
        <v>C_APP27029_PD002</v>
      </c>
      <c r="B88" s="2"/>
      <c r="C88" s="5"/>
      <c r="E88" s="170" t="s">
        <v>210</v>
      </c>
      <c r="F88" s="136">
        <f>F_Inputs!R34</f>
        <v>0</v>
      </c>
      <c r="G88" s="170" t="s">
        <v>206</v>
      </c>
      <c r="H88" t="s">
        <v>207</v>
      </c>
      <c r="I88"/>
      <c r="J88" s="5"/>
      <c r="K88" s="5"/>
      <c r="L88" s="5"/>
      <c r="M88" s="5"/>
      <c r="N88" s="5"/>
      <c r="O88" s="5"/>
      <c r="P88" s="5"/>
      <c r="Q88" s="5"/>
      <c r="R88" s="5"/>
      <c r="S88" s="5"/>
      <c r="T88" s="5"/>
      <c r="U88" s="5"/>
    </row>
    <row r="89" spans="1:256" s="244" customFormat="1" ht="12.75" customHeight="1" hidden="1" outlineLevel="1">
      <c r="A89" s="21" t="str">
        <f>F_Inputs!B35</f>
        <v>C_APP27030_PD002</v>
      </c>
      <c r="B89" s="2"/>
      <c r="C89" s="5"/>
      <c r="D89" s="4"/>
      <c r="E89" s="170" t="s">
        <v>211</v>
      </c>
      <c r="F89" s="136">
        <f>F_Inputs!R35</f>
        <v>0</v>
      </c>
      <c r="G89" s="170" t="s">
        <v>206</v>
      </c>
      <c r="H89" t="s">
        <v>207</v>
      </c>
      <c r="I89"/>
      <c r="J89" s="5"/>
      <c r="K89" s="5"/>
      <c r="L89" s="5"/>
      <c r="M89" s="5"/>
      <c r="N89" s="5"/>
      <c r="O89" s="5"/>
      <c r="P89" s="5"/>
      <c r="Q89" s="5"/>
      <c r="R89" s="5"/>
      <c r="S89" s="5"/>
      <c r="T89" s="5"/>
      <c r="U89" s="5"/>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1" ht="12.75" customHeight="1" hidden="1" outlineLevel="1">
      <c r="A90" s="21" t="str">
        <f>F_Inputs!B36</f>
        <v>C_WS15025_PR19PD006</v>
      </c>
      <c r="B90" s="2"/>
      <c r="C90" s="5"/>
      <c r="E90" s="170" t="s">
        <v>212</v>
      </c>
      <c r="F90" s="136">
        <f>F_Inputs!N36</f>
        <v>45.136</v>
      </c>
      <c r="G90" s="170" t="s">
        <v>206</v>
      </c>
      <c r="H90" t="s">
        <v>207</v>
      </c>
      <c r="I90"/>
      <c r="J90" s="5"/>
      <c r="K90" s="5"/>
      <c r="L90" s="5"/>
      <c r="M90" s="5"/>
      <c r="N90" s="5"/>
      <c r="O90" s="5"/>
      <c r="P90" s="5"/>
      <c r="Q90" s="5"/>
      <c r="R90" s="5"/>
      <c r="S90" s="5"/>
      <c r="T90" s="5"/>
      <c r="U90" s="5"/>
    </row>
    <row r="91" spans="1:21" ht="12.75" customHeight="1" hidden="1" outlineLevel="1">
      <c r="A91" s="21" t="str">
        <f>F_Inputs!B37</f>
        <v>APP8009W</v>
      </c>
      <c r="B91" s="2"/>
      <c r="C91" s="5"/>
      <c r="E91" s="170" t="s">
        <v>213</v>
      </c>
      <c r="F91" s="136">
        <f>F_Inputs!N37</f>
        <v>0</v>
      </c>
      <c r="G91" s="170" t="s">
        <v>206</v>
      </c>
      <c r="H91" t="s">
        <v>214</v>
      </c>
      <c r="I91"/>
      <c r="J91" s="5"/>
      <c r="K91" s="5"/>
      <c r="L91" s="5"/>
      <c r="M91" s="5"/>
      <c r="N91" s="5"/>
      <c r="O91" s="5"/>
      <c r="P91" s="5"/>
      <c r="Q91" s="5"/>
      <c r="R91" s="5"/>
      <c r="S91" s="5"/>
      <c r="T91" s="5"/>
      <c r="U91" s="5"/>
    </row>
    <row r="92" spans="1:21" ht="12.75" customHeight="1" hidden="1" outlineLevel="1">
      <c r="A92" s="21" t="str">
        <f>F_Inputs!B38</f>
        <v>C_A7010W_PR19PD003</v>
      </c>
      <c r="B92" s="2"/>
      <c r="C92" s="5"/>
      <c r="E92" s="170" t="s">
        <v>215</v>
      </c>
      <c r="F92" s="136">
        <f>F_Inputs!N38</f>
        <v>-1.491</v>
      </c>
      <c r="G92" s="170" t="s">
        <v>206</v>
      </c>
      <c r="H92" t="s">
        <v>216</v>
      </c>
      <c r="I92"/>
      <c r="J92" s="5"/>
      <c r="K92" s="5"/>
      <c r="L92" s="5"/>
      <c r="M92" s="5"/>
      <c r="N92" s="5"/>
      <c r="O92" s="5"/>
      <c r="P92" s="5"/>
      <c r="Q92" s="5"/>
      <c r="R92" s="5"/>
      <c r="S92" s="5"/>
      <c r="T92" s="5"/>
      <c r="U92" s="5"/>
    </row>
    <row r="93" spans="1:21" ht="12.75" customHeight="1" hidden="1" outlineLevel="1">
      <c r="A93" s="21"/>
      <c r="B93" s="2"/>
      <c r="C93" s="5"/>
      <c r="E93" s="5"/>
      <c r="F93" s="1"/>
      <c r="G93"/>
      <c r="H93"/>
      <c r="I93"/>
      <c r="J93" s="5"/>
      <c r="K93" s="5"/>
      <c r="L93" s="5"/>
      <c r="M93" s="5"/>
      <c r="N93" s="5"/>
      <c r="O93" s="5"/>
      <c r="P93" s="5"/>
      <c r="Q93" s="5"/>
      <c r="R93" s="5"/>
      <c r="S93" s="5"/>
      <c r="T93" s="5"/>
      <c r="U93" s="5"/>
    </row>
    <row r="94" spans="1:21" ht="12.75" customHeight="1" hidden="1" outlineLevel="1">
      <c r="A94" s="21"/>
      <c r="B94" s="2"/>
      <c r="C94" s="5"/>
      <c r="E94" s="195" t="s">
        <v>217</v>
      </c>
      <c r="F94" s="256">
        <v>0.5</v>
      </c>
      <c r="G94" s="195" t="s">
        <v>180</v>
      </c>
      <c r="H94"/>
      <c r="I94"/>
      <c r="J94" s="5"/>
      <c r="K94" s="5"/>
      <c r="L94" s="5"/>
      <c r="M94" s="5"/>
      <c r="N94" s="5"/>
      <c r="O94" s="5"/>
      <c r="P94" s="5"/>
      <c r="Q94" s="5"/>
      <c r="R94" s="5"/>
      <c r="S94" s="5"/>
      <c r="T94" s="5"/>
      <c r="U94" s="5"/>
    </row>
    <row r="95" spans="1:21" ht="12.75" customHeight="1" hidden="1" outlineLevel="1">
      <c r="A95" s="21"/>
      <c r="B95" s="2"/>
      <c r="C95" s="5"/>
      <c r="E95" s="5"/>
      <c r="F95" s="1"/>
      <c r="G95"/>
      <c r="H95"/>
      <c r="I95"/>
      <c r="J95" s="5"/>
      <c r="K95" s="5"/>
      <c r="L95" s="5"/>
      <c r="M95" s="5"/>
      <c r="N95" s="5"/>
      <c r="O95" s="5"/>
      <c r="P95" s="5"/>
      <c r="Q95" s="5"/>
      <c r="R95" s="5"/>
      <c r="S95" s="5"/>
      <c r="T95" s="5"/>
      <c r="U95" s="5"/>
    </row>
    <row r="96" spans="1:21" ht="12.75" customHeight="1" hidden="1" outlineLevel="1">
      <c r="A96" s="21" t="str">
        <f>F_Inputs!B39</f>
        <v>WS12019WR</v>
      </c>
      <c r="B96" s="2"/>
      <c r="C96" s="5"/>
      <c r="E96" s="196" t="s">
        <v>218</v>
      </c>
      <c r="F96" s="256">
        <f>F_Inputs!N39</f>
        <v>0</v>
      </c>
      <c r="G96" s="196" t="s">
        <v>180</v>
      </c>
      <c r="H96"/>
      <c r="I96"/>
      <c r="J96" s="5"/>
      <c r="K96" s="5"/>
      <c r="L96" s="5"/>
      <c r="M96" s="5"/>
      <c r="N96" s="5"/>
      <c r="O96" s="5"/>
      <c r="P96" s="5"/>
      <c r="Q96" s="5"/>
      <c r="R96" s="5"/>
      <c r="S96" s="5"/>
      <c r="T96" s="5"/>
      <c r="U96" s="5"/>
    </row>
    <row r="97" spans="1:21" ht="12.75" customHeight="1" hidden="1" outlineLevel="1">
      <c r="A97" s="21"/>
      <c r="B97" s="2"/>
      <c r="C97" s="5"/>
      <c r="E97" s="196" t="s">
        <v>219</v>
      </c>
      <c r="F97" s="260">
        <f>1-F96</f>
        <v>1</v>
      </c>
      <c r="G97" s="196" t="s">
        <v>180</v>
      </c>
      <c r="H97"/>
      <c r="I97"/>
      <c r="J97" s="5"/>
      <c r="K97" s="5"/>
      <c r="L97" s="5"/>
      <c r="M97" s="5"/>
      <c r="N97" s="5"/>
      <c r="O97" s="5"/>
      <c r="P97" s="5"/>
      <c r="Q97" s="5"/>
      <c r="R97" s="5"/>
      <c r="S97" s="5"/>
      <c r="T97" s="5"/>
      <c r="U97" s="5"/>
    </row>
    <row r="98" spans="1:21" ht="12.75" customHeight="1" hidden="1" outlineLevel="1">
      <c r="A98" s="21"/>
      <c r="B98" s="2"/>
      <c r="C98" s="5"/>
      <c r="E98" s="5"/>
      <c r="F98" s="1"/>
      <c r="G98"/>
      <c r="H98"/>
      <c r="I98"/>
      <c r="J98" s="5"/>
      <c r="K98" s="5"/>
      <c r="L98" s="5"/>
      <c r="M98" s="5"/>
      <c r="N98" s="5"/>
      <c r="O98" s="5"/>
      <c r="P98" s="5"/>
      <c r="Q98" s="5"/>
      <c r="R98" s="5"/>
      <c r="S98" s="5"/>
      <c r="T98" s="5"/>
      <c r="U98" s="5"/>
    </row>
    <row r="99" spans="1:21" ht="12.75" customHeight="1" hidden="1" outlineLevel="1">
      <c r="A99" s="21" t="str">
        <f>F_Inputs!B40</f>
        <v>APP33021WR</v>
      </c>
      <c r="B99" s="2"/>
      <c r="C99" s="2"/>
      <c r="E99" s="266" t="s">
        <v>220</v>
      </c>
      <c r="F99" s="136">
        <f>F_Inputs!N40</f>
        <v>0</v>
      </c>
      <c r="G99" s="186" t="s">
        <v>206</v>
      </c>
      <c r="H99" s="244" t="s">
        <v>214</v>
      </c>
      <c r="I99"/>
      <c r="J99" s="5"/>
      <c r="K99" s="5"/>
      <c r="L99" s="5"/>
      <c r="M99" s="5"/>
      <c r="N99" s="5"/>
      <c r="O99" s="5"/>
      <c r="P99" s="5"/>
      <c r="Q99" s="5"/>
      <c r="R99" s="5"/>
      <c r="S99" s="5"/>
      <c r="T99" s="5"/>
      <c r="U99" s="5"/>
    </row>
    <row r="100" spans="1:21" ht="12.75" customHeight="1" hidden="1" outlineLevel="1">
      <c r="A100" s="21" t="str">
        <f>F_Inputs!B41</f>
        <v>APP33021WNP</v>
      </c>
      <c r="B100" s="2"/>
      <c r="C100" s="2"/>
      <c r="E100" s="266" t="s">
        <v>221</v>
      </c>
      <c r="F100" s="136">
        <f>F_Inputs!N41</f>
        <v>0</v>
      </c>
      <c r="G100" s="186" t="s">
        <v>206</v>
      </c>
      <c r="H100" s="244" t="s">
        <v>214</v>
      </c>
      <c r="I100"/>
      <c r="J100" s="5"/>
      <c r="K100" s="5"/>
      <c r="L100" s="5"/>
      <c r="M100" s="5"/>
      <c r="N100" s="5"/>
      <c r="O100" s="5"/>
      <c r="P100" s="5"/>
      <c r="Q100" s="5"/>
      <c r="R100" s="5"/>
      <c r="S100" s="5"/>
      <c r="T100" s="5"/>
      <c r="U100" s="5"/>
    </row>
    <row r="101" spans="1:21" ht="12.75" customHeight="1" hidden="1" outlineLevel="1">
      <c r="A101" s="21"/>
      <c r="B101" s="2"/>
      <c r="C101" s="5"/>
      <c r="E101" s="5"/>
      <c r="F101" s="1"/>
      <c r="G101"/>
      <c r="H101"/>
      <c r="I101"/>
      <c r="J101" s="5"/>
      <c r="K101" s="5"/>
      <c r="L101" s="5"/>
      <c r="M101" s="5"/>
      <c r="N101" s="5"/>
      <c r="O101" s="5"/>
      <c r="P101" s="5"/>
      <c r="Q101" s="5"/>
      <c r="R101" s="5"/>
      <c r="S101" s="5"/>
      <c r="T101" s="5"/>
      <c r="U101" s="5"/>
    </row>
    <row r="102" spans="1:8" ht="12.75" customHeight="1" hidden="1" outlineLevel="1">
      <c r="A102" s="4"/>
      <c r="B102" s="32" t="s">
        <v>222</v>
      </c>
      <c r="C102" s="32"/>
      <c r="D102" s="33"/>
      <c r="E102" s="33"/>
      <c r="F102" s="27"/>
      <c r="G102" s="28"/>
      <c r="H102" s="28"/>
    </row>
    <row r="103" spans="1:21" ht="12.75" customHeight="1" hidden="1" outlineLevel="1">
      <c r="A103" s="21"/>
      <c r="B103" s="2"/>
      <c r="C103" s="5"/>
      <c r="E103" s="5"/>
      <c r="F103" s="1"/>
      <c r="G103"/>
      <c r="H103"/>
      <c r="I103"/>
      <c r="J103" s="5"/>
      <c r="K103" s="5"/>
      <c r="L103" s="5"/>
      <c r="M103" s="5"/>
      <c r="N103" s="5"/>
      <c r="O103" s="5"/>
      <c r="P103" s="5"/>
      <c r="Q103" s="5"/>
      <c r="R103" s="5"/>
      <c r="S103" s="5"/>
      <c r="T103" s="5"/>
      <c r="U103" s="5"/>
    </row>
    <row r="104" spans="1:21" ht="12.75" customHeight="1" hidden="1" outlineLevel="1">
      <c r="A104" s="21" t="str">
        <f>F_Inputs!B42</f>
        <v>APP8001WW</v>
      </c>
      <c r="B104" s="2"/>
      <c r="C104" s="2"/>
      <c r="E104" s="170" t="s">
        <v>223</v>
      </c>
      <c r="F104" s="136">
        <f>F_Inputs!N42</f>
        <v>0</v>
      </c>
      <c r="G104" s="170" t="s">
        <v>206</v>
      </c>
      <c r="H104" t="s">
        <v>207</v>
      </c>
      <c r="I104"/>
      <c r="J104" s="5"/>
      <c r="K104" s="5"/>
      <c r="L104" s="5"/>
      <c r="M104" s="5"/>
      <c r="N104" s="5"/>
      <c r="O104" s="5"/>
      <c r="P104" s="5"/>
      <c r="Q104" s="5"/>
      <c r="R104" s="5"/>
      <c r="S104" s="5"/>
      <c r="T104" s="5"/>
      <c r="U104" s="5"/>
    </row>
    <row r="105" spans="1:21" ht="12.75" customHeight="1" hidden="1" outlineLevel="1">
      <c r="A105" s="21" t="str">
        <f>F_Inputs!B43</f>
        <v>C00579_L021</v>
      </c>
      <c r="B105" s="2"/>
      <c r="C105" s="2"/>
      <c r="E105" s="170" t="s">
        <v>224</v>
      </c>
      <c r="F105" s="136">
        <f>F_Inputs!P43</f>
        <v>3.19846691531997</v>
      </c>
      <c r="G105" s="170" t="s">
        <v>206</v>
      </c>
      <c r="H105" t="s">
        <v>207</v>
      </c>
      <c r="I105"/>
      <c r="J105" s="5"/>
      <c r="K105" s="5"/>
      <c r="L105" s="5"/>
      <c r="M105" s="5"/>
      <c r="N105" s="5"/>
      <c r="O105" s="5"/>
      <c r="P105" s="5"/>
      <c r="Q105" s="5"/>
      <c r="R105" s="5"/>
      <c r="S105" s="5"/>
      <c r="T105" s="5"/>
      <c r="U105" s="5"/>
    </row>
    <row r="106" spans="1:21" ht="12.75" customHeight="1" hidden="1" outlineLevel="1">
      <c r="A106" s="21" t="str">
        <f>F_Inputs!B44</f>
        <v>APP25002</v>
      </c>
      <c r="B106" s="2"/>
      <c r="C106" s="2"/>
      <c r="E106" s="298" t="s">
        <v>225</v>
      </c>
      <c r="F106" s="136">
        <f>F_Inputs!P44</f>
        <v>-61.1749783649225</v>
      </c>
      <c r="G106" s="170" t="s">
        <v>206</v>
      </c>
      <c r="H106" t="s">
        <v>207</v>
      </c>
      <c r="I106"/>
      <c r="J106" s="5"/>
      <c r="K106" s="5"/>
      <c r="L106" s="5"/>
      <c r="M106" s="5"/>
      <c r="N106" s="5"/>
      <c r="O106" s="5"/>
      <c r="P106" s="5"/>
      <c r="Q106" s="5"/>
      <c r="R106" s="5"/>
      <c r="S106" s="5"/>
      <c r="T106" s="5"/>
      <c r="U106" s="5"/>
    </row>
    <row r="107" spans="1:21" ht="12.75" customHeight="1" hidden="1" outlineLevel="1">
      <c r="A107" s="21" t="str">
        <f>F_Inputs!B45</f>
        <v>C_APP27031_PD002</v>
      </c>
      <c r="B107" s="2"/>
      <c r="C107" s="2"/>
      <c r="E107" s="170" t="s">
        <v>226</v>
      </c>
      <c r="F107" s="136">
        <f>F_Inputs!R45</f>
        <v>0</v>
      </c>
      <c r="G107" s="170" t="s">
        <v>206</v>
      </c>
      <c r="H107" t="s">
        <v>207</v>
      </c>
      <c r="I107"/>
      <c r="J107" s="5"/>
      <c r="K107" s="5"/>
      <c r="L107" s="5"/>
      <c r="M107" s="5"/>
      <c r="N107" s="5"/>
      <c r="O107" s="5"/>
      <c r="P107" s="5"/>
      <c r="Q107" s="5"/>
      <c r="R107" s="5"/>
      <c r="S107" s="5"/>
      <c r="T107" s="5"/>
      <c r="U107" s="5"/>
    </row>
    <row r="108" spans="1:21" ht="12.75" customHeight="1" hidden="1" outlineLevel="1">
      <c r="A108" s="21" t="str">
        <f>F_Inputs!B46</f>
        <v>C_WWS15020_PR19PD006</v>
      </c>
      <c r="B108" s="2"/>
      <c r="C108" s="2"/>
      <c r="E108" s="170" t="s">
        <v>227</v>
      </c>
      <c r="F108" s="136">
        <f>F_Inputs!N46</f>
        <v>-62.158</v>
      </c>
      <c r="G108" s="170" t="s">
        <v>206</v>
      </c>
      <c r="H108" t="s">
        <v>207</v>
      </c>
      <c r="I108"/>
      <c r="J108" s="5"/>
      <c r="K108" s="5"/>
      <c r="L108" s="5"/>
      <c r="M108" s="5"/>
      <c r="N108" s="5"/>
      <c r="O108" s="5"/>
      <c r="P108" s="5"/>
      <c r="Q108" s="5"/>
      <c r="R108" s="5"/>
      <c r="S108" s="5"/>
      <c r="T108" s="5"/>
      <c r="U108" s="5"/>
    </row>
    <row r="109" spans="1:21" ht="12.75" customHeight="1" hidden="1" outlineLevel="1">
      <c r="A109" s="21" t="str">
        <f>F_Inputs!B47</f>
        <v>APP8009WW</v>
      </c>
      <c r="B109" s="2"/>
      <c r="C109" s="2"/>
      <c r="E109" s="170" t="s">
        <v>228</v>
      </c>
      <c r="F109" s="136">
        <f>F_Inputs!N47</f>
        <v>0</v>
      </c>
      <c r="G109" s="170" t="s">
        <v>206</v>
      </c>
      <c r="H109" t="s">
        <v>214</v>
      </c>
      <c r="I109"/>
      <c r="J109" s="5"/>
      <c r="K109" s="5"/>
      <c r="L109" s="5"/>
      <c r="M109" s="5"/>
      <c r="N109" s="5"/>
      <c r="O109" s="5"/>
      <c r="P109" s="5"/>
      <c r="Q109" s="5"/>
      <c r="R109" s="5"/>
      <c r="S109" s="5"/>
      <c r="T109" s="5"/>
      <c r="U109" s="5"/>
    </row>
    <row r="110" spans="1:21" ht="12.75" customHeight="1" hidden="1" outlineLevel="1">
      <c r="A110" s="21" t="str">
        <f>F_Inputs!B48</f>
        <v>C_A7010WW_PR19PD003</v>
      </c>
      <c r="B110" s="2"/>
      <c r="C110" s="2"/>
      <c r="E110" s="170" t="s">
        <v>229</v>
      </c>
      <c r="F110" s="136">
        <f>F_Inputs!N48</f>
        <v>0.448</v>
      </c>
      <c r="G110" s="170" t="s">
        <v>206</v>
      </c>
      <c r="H110" t="s">
        <v>216</v>
      </c>
      <c r="I110"/>
      <c r="J110" s="5"/>
      <c r="K110" s="5"/>
      <c r="L110" s="5"/>
      <c r="M110" s="5"/>
      <c r="N110" s="5"/>
      <c r="O110" s="5"/>
      <c r="P110" s="5"/>
      <c r="Q110" s="5"/>
      <c r="R110" s="5"/>
      <c r="S110" s="5"/>
      <c r="T110" s="5"/>
      <c r="U110" s="5"/>
    </row>
    <row r="111" spans="1:21" ht="12.75" customHeight="1" hidden="1" outlineLevel="1">
      <c r="A111" s="21"/>
      <c r="B111" s="2"/>
      <c r="C111" s="5"/>
      <c r="E111" s="5"/>
      <c r="F111" s="1"/>
      <c r="G111"/>
      <c r="H111"/>
      <c r="I111"/>
      <c r="J111" s="5"/>
      <c r="K111" s="5"/>
      <c r="L111" s="5"/>
      <c r="M111" s="5"/>
      <c r="N111" s="5"/>
      <c r="O111" s="5"/>
      <c r="P111" s="5"/>
      <c r="Q111" s="5"/>
      <c r="R111" s="5"/>
      <c r="S111" s="5"/>
      <c r="T111" s="5"/>
      <c r="U111" s="5"/>
    </row>
    <row r="112" spans="1:21" ht="12.75" customHeight="1" hidden="1" outlineLevel="1">
      <c r="A112" s="21"/>
      <c r="B112" s="2"/>
      <c r="C112" s="5"/>
      <c r="E112" s="195" t="s">
        <v>230</v>
      </c>
      <c r="F112" s="256">
        <v>0.5</v>
      </c>
      <c r="G112" s="195" t="s">
        <v>180</v>
      </c>
      <c r="H112"/>
      <c r="I112"/>
      <c r="J112" s="5"/>
      <c r="K112" s="5"/>
      <c r="L112" s="5"/>
      <c r="M112" s="5"/>
      <c r="N112" s="5"/>
      <c r="O112" s="5"/>
      <c r="P112" s="5"/>
      <c r="Q112" s="5"/>
      <c r="R112" s="5"/>
      <c r="S112" s="5"/>
      <c r="T112" s="5"/>
      <c r="U112" s="5"/>
    </row>
    <row r="113" spans="1:21" ht="12.75" customHeight="1" hidden="1" outlineLevel="1">
      <c r="A113" s="21"/>
      <c r="B113" s="2"/>
      <c r="C113" s="5"/>
      <c r="E113" s="5"/>
      <c r="F113" s="1"/>
      <c r="G113"/>
      <c r="H113"/>
      <c r="I113"/>
      <c r="J113" s="5"/>
      <c r="K113" s="5"/>
      <c r="L113" s="5"/>
      <c r="M113" s="5"/>
      <c r="N113" s="5"/>
      <c r="O113" s="5"/>
      <c r="P113" s="5"/>
      <c r="Q113" s="5"/>
      <c r="R113" s="5"/>
      <c r="S113" s="5"/>
      <c r="T113" s="5"/>
      <c r="U113" s="5"/>
    </row>
    <row r="114" spans="1:21" ht="12.75" customHeight="1" hidden="1" outlineLevel="1">
      <c r="A114" s="21" t="str">
        <f>F_Inputs!B49</f>
        <v>WWS12016BIO</v>
      </c>
      <c r="B114" s="2"/>
      <c r="C114" s="5"/>
      <c r="E114" s="249" t="s">
        <v>231</v>
      </c>
      <c r="F114" s="136">
        <f>F_Inputs!N49</f>
        <v>0</v>
      </c>
      <c r="G114" s="170" t="s">
        <v>206</v>
      </c>
      <c r="H114" t="s">
        <v>214</v>
      </c>
      <c r="I114"/>
      <c r="J114" s="5"/>
      <c r="K114" s="5"/>
      <c r="L114" s="5"/>
      <c r="M114" s="5"/>
      <c r="N114" s="5"/>
      <c r="O114" s="5"/>
      <c r="P114" s="5"/>
      <c r="Q114" s="5"/>
      <c r="R114" s="5"/>
      <c r="S114" s="5"/>
      <c r="T114" s="5"/>
      <c r="U114" s="5"/>
    </row>
    <row r="115" spans="1:21" ht="12.75" customHeight="1" hidden="1" outlineLevel="1">
      <c r="A115" s="21"/>
      <c r="B115" s="2"/>
      <c r="C115" s="5"/>
      <c r="F115" s="5"/>
      <c r="G115" s="1"/>
      <c r="H115"/>
      <c r="I115"/>
      <c r="J115" s="5"/>
      <c r="K115" s="5"/>
      <c r="L115" s="5"/>
      <c r="M115" s="5"/>
      <c r="N115" s="5"/>
      <c r="O115" s="5"/>
      <c r="P115" s="5"/>
      <c r="Q115" s="5"/>
      <c r="R115" s="5"/>
      <c r="S115" s="5"/>
      <c r="T115" s="5"/>
      <c r="U115" s="5"/>
    </row>
    <row r="116" spans="1:21" ht="12.75" customHeight="1" hidden="1" outlineLevel="1">
      <c r="A116" s="21" t="str">
        <f>F_Inputs!B50</f>
        <v>APP33021BIO</v>
      </c>
      <c r="B116" s="2"/>
      <c r="C116" s="5"/>
      <c r="E116" s="266" t="s">
        <v>232</v>
      </c>
      <c r="F116" s="136">
        <f>F_Inputs!N50</f>
        <v>0</v>
      </c>
      <c r="G116" s="186" t="s">
        <v>206</v>
      </c>
      <c r="H116" s="244" t="s">
        <v>214</v>
      </c>
      <c r="I116"/>
      <c r="J116" s="5"/>
      <c r="K116" s="5"/>
      <c r="L116" s="5"/>
      <c r="M116" s="5"/>
      <c r="N116" s="5"/>
      <c r="O116" s="5"/>
      <c r="P116" s="5"/>
      <c r="Q116" s="5"/>
      <c r="R116" s="5"/>
      <c r="S116" s="5"/>
      <c r="T116" s="5"/>
      <c r="U116" s="5"/>
    </row>
    <row r="117" spans="1:21" ht="12.75" customHeight="1" hidden="1" outlineLevel="1">
      <c r="A117" s="21" t="str">
        <f>F_Inputs!B51</f>
        <v>APP33021WWNP</v>
      </c>
      <c r="B117" s="2"/>
      <c r="C117" s="5"/>
      <c r="E117" s="266" t="s">
        <v>233</v>
      </c>
      <c r="F117" s="136">
        <f>F_Inputs!N51</f>
        <v>0</v>
      </c>
      <c r="G117" s="186" t="s">
        <v>206</v>
      </c>
      <c r="H117" s="244" t="s">
        <v>214</v>
      </c>
      <c r="I117"/>
      <c r="J117" s="5"/>
      <c r="K117" s="5"/>
      <c r="L117" s="5"/>
      <c r="M117" s="5"/>
      <c r="N117" s="5"/>
      <c r="O117" s="5"/>
      <c r="P117" s="5"/>
      <c r="Q117" s="5"/>
      <c r="R117" s="5"/>
      <c r="S117" s="5"/>
      <c r="T117" s="5"/>
      <c r="U117" s="5"/>
    </row>
    <row r="118" spans="1:21" ht="12.75" customHeight="1" hidden="1" outlineLevel="1">
      <c r="A118" s="21"/>
      <c r="B118" s="2"/>
      <c r="C118" s="5"/>
      <c r="F118" s="5"/>
      <c r="G118" s="1"/>
      <c r="H118"/>
      <c r="I118"/>
      <c r="J118" s="5"/>
      <c r="K118" s="5"/>
      <c r="L118" s="5"/>
      <c r="M118" s="5"/>
      <c r="N118" s="5"/>
      <c r="O118" s="5"/>
      <c r="P118" s="5"/>
      <c r="Q118" s="5"/>
      <c r="R118" s="5"/>
      <c r="S118" s="5"/>
      <c r="T118" s="5"/>
      <c r="U118" s="5"/>
    </row>
    <row r="119" spans="1:21" ht="12.75" customHeight="1" hidden="1" outlineLevel="1">
      <c r="A119" s="21"/>
      <c r="B119" s="32" t="s">
        <v>234</v>
      </c>
      <c r="C119" s="32"/>
      <c r="D119" s="33"/>
      <c r="E119" s="33"/>
      <c r="F119" s="5"/>
      <c r="G119" s="1"/>
      <c r="H119"/>
      <c r="I119"/>
      <c r="J119" s="5"/>
      <c r="K119" s="5"/>
      <c r="L119" s="5"/>
      <c r="M119" s="5"/>
      <c r="N119" s="5"/>
      <c r="O119" s="5"/>
      <c r="P119" s="5"/>
      <c r="Q119" s="5"/>
      <c r="R119" s="5"/>
      <c r="S119" s="5"/>
      <c r="T119" s="5"/>
      <c r="U119" s="5"/>
    </row>
    <row r="120" spans="1:21" ht="12.75" customHeight="1" hidden="1" outlineLevel="1">
      <c r="A120" s="21"/>
      <c r="B120" s="2"/>
      <c r="C120" s="5"/>
      <c r="F120" s="5"/>
      <c r="G120" s="1"/>
      <c r="H120"/>
      <c r="I120"/>
      <c r="J120" s="5"/>
      <c r="K120" s="5"/>
      <c r="L120" s="5"/>
      <c r="M120" s="5"/>
      <c r="N120" s="5"/>
      <c r="O120" s="5"/>
      <c r="P120" s="5"/>
      <c r="Q120" s="5"/>
      <c r="R120" s="5"/>
      <c r="S120" s="5"/>
      <c r="T120" s="5"/>
      <c r="U120" s="5"/>
    </row>
    <row r="121" spans="1:256" s="244" customFormat="1" ht="12.75" customHeight="1" hidden="1" outlineLevel="1">
      <c r="A121" s="21" t="str">
        <f>F_Inputs!B52</f>
        <v>RCV1011DMMY</v>
      </c>
      <c r="B121" s="2"/>
      <c r="C121" s="5"/>
      <c r="D121" s="4"/>
      <c r="E121" s="170" t="s">
        <v>235</v>
      </c>
      <c r="F121" s="136">
        <f>F_Inputs!N52</f>
        <v>0</v>
      </c>
      <c r="G121" s="170" t="s">
        <v>206</v>
      </c>
      <c r="H121" t="s">
        <v>214</v>
      </c>
      <c r="I121"/>
      <c r="J121" s="5"/>
      <c r="K121" s="5"/>
      <c r="L121" s="5"/>
      <c r="M121" s="5"/>
      <c r="N121" s="5"/>
      <c r="O121" s="5"/>
      <c r="P121" s="5"/>
      <c r="Q121" s="5"/>
      <c r="R121" s="5"/>
      <c r="S121" s="5"/>
      <c r="T121" s="5"/>
      <c r="U121" s="5"/>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s="244" customFormat="1" ht="12.75" customHeight="1" hidden="1" outlineLevel="1">
      <c r="A122" s="21" t="str">
        <f>F_Inputs!B53</f>
        <v>C_APP27032_PD002</v>
      </c>
      <c r="B122" s="2"/>
      <c r="C122" s="5"/>
      <c r="D122" s="4"/>
      <c r="E122" s="170" t="s">
        <v>236</v>
      </c>
      <c r="F122" s="136">
        <f>F_Inputs!R53</f>
        <v>0</v>
      </c>
      <c r="G122" s="170" t="s">
        <v>206</v>
      </c>
      <c r="H122" t="s">
        <v>207</v>
      </c>
      <c r="I122"/>
      <c r="J122" s="5"/>
      <c r="K122" s="5"/>
      <c r="L122" s="5"/>
      <c r="M122" s="5"/>
      <c r="N122" s="5"/>
      <c r="O122" s="5"/>
      <c r="P122" s="5"/>
      <c r="Q122" s="5"/>
      <c r="R122" s="5"/>
      <c r="S122" s="5"/>
      <c r="T122" s="5"/>
      <c r="U122" s="5"/>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1" ht="12.75" customHeight="1" hidden="1" outlineLevel="1">
      <c r="A123" s="21" t="str">
        <f>F_Inputs!B55</f>
        <v>APP8009DMMY</v>
      </c>
      <c r="B123" s="2"/>
      <c r="C123" s="5"/>
      <c r="E123" s="319" t="s">
        <v>237</v>
      </c>
      <c r="F123" s="136">
        <f>F_Inputs!N54</f>
        <v>0</v>
      </c>
      <c r="G123" s="319" t="s">
        <v>206</v>
      </c>
      <c r="H123" s="320" t="s">
        <v>207</v>
      </c>
      <c r="I123"/>
      <c r="J123" s="5"/>
      <c r="K123" s="5"/>
      <c r="L123" s="5"/>
      <c r="M123" s="5"/>
      <c r="N123" s="5"/>
      <c r="O123" s="5"/>
      <c r="P123" s="5"/>
      <c r="Q123" s="5"/>
      <c r="R123" s="5"/>
      <c r="S123" s="5"/>
      <c r="T123" s="5"/>
      <c r="U123" s="5"/>
    </row>
    <row r="124" spans="1:21" ht="12.75" customHeight="1" hidden="1" outlineLevel="1">
      <c r="A124" s="21" t="str">
        <f>F_Inputs!B56</f>
        <v>APP33021DMMY</v>
      </c>
      <c r="B124" s="2"/>
      <c r="C124" s="5"/>
      <c r="E124" s="330" t="s">
        <v>238</v>
      </c>
      <c r="F124" s="136">
        <f>F_Inputs!N55</f>
        <v>0</v>
      </c>
      <c r="G124" s="330" t="s">
        <v>206</v>
      </c>
      <c r="H124" s="331" t="s">
        <v>214</v>
      </c>
      <c r="I124"/>
      <c r="J124" s="5"/>
      <c r="K124" s="5"/>
      <c r="L124" s="5"/>
      <c r="M124" s="5"/>
      <c r="N124" s="5"/>
      <c r="O124" s="5"/>
      <c r="P124" s="5"/>
      <c r="Q124" s="5"/>
      <c r="R124" s="5"/>
      <c r="S124" s="5"/>
      <c r="T124" s="5"/>
      <c r="U124" s="5"/>
    </row>
    <row r="125" spans="1:21" ht="12.75" customHeight="1" hidden="1" outlineLevel="1">
      <c r="A125" s="21" t="s">
        <v>621</v>
      </c>
      <c r="B125" s="2"/>
      <c r="C125" s="5"/>
      <c r="E125" s="330" t="s">
        <v>239</v>
      </c>
      <c r="F125" s="136"/>
      <c r="G125" s="330" t="s">
        <v>206</v>
      </c>
      <c r="H125" s="331" t="s">
        <v>216</v>
      </c>
      <c r="I125"/>
      <c r="J125" s="5"/>
      <c r="K125" s="5"/>
      <c r="L125" s="5"/>
      <c r="M125" s="5"/>
      <c r="N125" s="5"/>
      <c r="O125" s="5"/>
      <c r="P125" s="5"/>
      <c r="Q125" s="5"/>
      <c r="R125" s="5"/>
      <c r="S125" s="5"/>
      <c r="T125" s="5"/>
      <c r="U125" s="5"/>
    </row>
    <row r="126" spans="1:21" ht="12.75" customHeight="1" hidden="1" outlineLevel="1">
      <c r="A126" s="21"/>
      <c r="B126" s="2"/>
      <c r="C126" s="5"/>
      <c r="E126" s="195" t="s">
        <v>240</v>
      </c>
      <c r="F126" s="256">
        <v>0.5</v>
      </c>
      <c r="G126" s="195" t="s">
        <v>180</v>
      </c>
      <c r="H126"/>
      <c r="I126"/>
      <c r="J126" s="5"/>
      <c r="K126" s="5"/>
      <c r="L126" s="5"/>
      <c r="M126" s="5"/>
      <c r="N126" s="5"/>
      <c r="O126" s="5"/>
      <c r="P126" s="5"/>
      <c r="Q126" s="5"/>
      <c r="R126" s="5"/>
      <c r="S126" s="5"/>
      <c r="T126" s="5"/>
      <c r="U126" s="5"/>
    </row>
    <row r="127" spans="1:21" ht="12.75" customHeight="1" hidden="1" outlineLevel="1">
      <c r="A127" s="21"/>
      <c r="B127" s="2"/>
      <c r="C127" s="5"/>
      <c r="E127" s="195"/>
      <c r="F127" s="1"/>
      <c r="G127" s="195"/>
      <c r="H127"/>
      <c r="I127"/>
      <c r="J127" s="5"/>
      <c r="K127" s="5"/>
      <c r="L127" s="5"/>
      <c r="M127" s="5"/>
      <c r="N127" s="5"/>
      <c r="O127" s="5"/>
      <c r="P127" s="5"/>
      <c r="Q127" s="5"/>
      <c r="R127" s="5"/>
      <c r="S127" s="5"/>
      <c r="T127" s="5"/>
      <c r="U127" s="5"/>
    </row>
    <row r="128" spans="1:21" ht="12.75" customHeight="1" hidden="1" outlineLevel="1">
      <c r="A128" s="21">
        <f>F_Inputs!B57</f>
        <v>0</v>
      </c>
      <c r="B128" s="2"/>
      <c r="C128" s="5"/>
      <c r="E128" s="266" t="s">
        <v>241</v>
      </c>
      <c r="F128" s="136">
        <f>F_Inputs!N56</f>
        <v>0</v>
      </c>
      <c r="G128" s="186" t="s">
        <v>206</v>
      </c>
      <c r="H128" s="244" t="s">
        <v>214</v>
      </c>
      <c r="I128"/>
      <c r="J128" s="5"/>
      <c r="K128" s="5"/>
      <c r="L128" s="5"/>
      <c r="M128" s="5"/>
      <c r="N128" s="5"/>
      <c r="O128" s="5"/>
      <c r="P128" s="5"/>
      <c r="Q128" s="5"/>
      <c r="R128" s="5"/>
      <c r="S128" s="5"/>
      <c r="T128" s="5"/>
      <c r="U128" s="5"/>
    </row>
    <row r="129" spans="1:21" ht="12.75" customHeight="1" hidden="1" outlineLevel="1">
      <c r="A129" s="2"/>
      <c r="B129" s="2"/>
      <c r="C129" s="5"/>
      <c r="E129" s="5"/>
      <c r="F129" s="1"/>
      <c r="G129"/>
      <c r="H129"/>
      <c r="I129"/>
      <c r="J129" s="5"/>
      <c r="K129" s="5"/>
      <c r="L129" s="5"/>
      <c r="M129" s="5"/>
      <c r="N129" s="5"/>
      <c r="O129" s="5"/>
      <c r="P129" s="5"/>
      <c r="Q129" s="5"/>
      <c r="R129" s="5"/>
      <c r="S129" s="5"/>
      <c r="T129" s="5"/>
      <c r="U129" s="5"/>
    </row>
    <row r="130" spans="1:21" ht="12.75" customHeight="1">
      <c r="A130" s="2"/>
      <c r="B130" s="2"/>
      <c r="C130" s="5"/>
      <c r="E130" s="5"/>
      <c r="F130" s="1"/>
      <c r="G130"/>
      <c r="H130"/>
      <c r="I130"/>
      <c r="J130" s="5"/>
      <c r="K130" s="5"/>
      <c r="L130" s="5"/>
      <c r="M130" s="5"/>
      <c r="N130" s="5"/>
      <c r="O130" s="5"/>
      <c r="P130" s="5"/>
      <c r="Q130" s="5"/>
      <c r="R130" s="5"/>
      <c r="S130" s="5"/>
      <c r="T130" s="5"/>
      <c r="U130" s="5"/>
    </row>
    <row r="131" spans="1:21" ht="12.75" customHeight="1" collapsed="1">
      <c r="A131" s="43" t="s">
        <v>242</v>
      </c>
      <c r="B131" s="43"/>
      <c r="C131" s="44"/>
      <c r="D131" s="43"/>
      <c r="E131" s="43"/>
      <c r="F131" s="43"/>
      <c r="G131" s="43"/>
      <c r="H131" s="43"/>
      <c r="I131" s="43"/>
      <c r="J131" s="43"/>
      <c r="K131" s="43"/>
      <c r="L131" s="43"/>
      <c r="M131" s="43"/>
      <c r="N131" s="43"/>
      <c r="O131" s="43"/>
      <c r="P131" s="43"/>
      <c r="Q131" s="43"/>
      <c r="R131" s="43"/>
      <c r="S131" s="43"/>
      <c r="T131" s="43"/>
      <c r="U131" s="43"/>
    </row>
    <row r="132" spans="1:21" ht="12.75" customHeight="1" hidden="1" outlineLevel="1">
      <c r="A132" s="4"/>
      <c r="B132" s="2"/>
      <c r="C132" s="5"/>
      <c r="E132" s="5"/>
      <c r="F132" s="5"/>
      <c r="G132" s="6"/>
      <c r="H132" s="6"/>
      <c r="I132" s="5"/>
      <c r="J132" s="5"/>
      <c r="K132" s="5"/>
      <c r="L132" s="5"/>
      <c r="M132" s="5"/>
      <c r="N132" s="5"/>
      <c r="O132" s="5"/>
      <c r="P132" s="5"/>
      <c r="Q132" s="5"/>
      <c r="R132" s="5"/>
      <c r="S132" s="5"/>
      <c r="T132" s="5"/>
      <c r="U132" s="5"/>
    </row>
    <row r="133" spans="1:21" ht="12.75" customHeight="1" hidden="1" outlineLevel="1">
      <c r="A133" s="4" t="s">
        <v>599</v>
      </c>
      <c r="B133" s="2"/>
      <c r="C133" s="21"/>
      <c r="E133" s="4" t="s">
        <v>243</v>
      </c>
      <c r="F133" s="127">
        <v>12</v>
      </c>
      <c r="G133" s="4" t="s">
        <v>244</v>
      </c>
      <c r="I133" s="21"/>
      <c r="J133" s="21"/>
      <c r="K133" s="21"/>
      <c r="L133" s="21"/>
      <c r="M133" s="21"/>
      <c r="N133" s="21"/>
      <c r="O133" s="21"/>
      <c r="P133" s="21"/>
      <c r="Q133" s="21"/>
      <c r="R133" s="21"/>
      <c r="S133" s="21"/>
      <c r="T133" s="21"/>
      <c r="U133" s="21"/>
    </row>
    <row r="134" spans="1:21" ht="12.75" customHeight="1" hidden="1" outlineLevel="1">
      <c r="A134" s="4"/>
      <c r="B134" s="2"/>
      <c r="C134" s="21"/>
      <c r="E134" s="28"/>
      <c r="F134" s="259"/>
      <c r="G134" s="28"/>
      <c r="H134" s="28"/>
      <c r="I134" s="21"/>
      <c r="J134" s="21"/>
      <c r="K134" s="21"/>
      <c r="L134" s="21"/>
      <c r="M134" s="21"/>
      <c r="N134" s="21"/>
      <c r="O134" s="21"/>
      <c r="P134" s="21"/>
      <c r="Q134" s="21"/>
      <c r="R134" s="21"/>
      <c r="S134" s="21"/>
      <c r="T134" s="21"/>
      <c r="U134" s="21"/>
    </row>
    <row r="135" spans="1:21" ht="12.75" customHeight="1" hidden="1" outlineLevel="1">
      <c r="A135" s="4" t="s">
        <v>600</v>
      </c>
      <c r="B135" s="2"/>
      <c r="C135" s="21"/>
      <c r="E135" s="4" t="s">
        <v>245</v>
      </c>
      <c r="F135" s="127">
        <v>12</v>
      </c>
      <c r="G135" s="4" t="s">
        <v>244</v>
      </c>
      <c r="I135" s="21"/>
      <c r="J135" s="21"/>
      <c r="K135" s="21"/>
      <c r="L135" s="21"/>
      <c r="M135" s="21"/>
      <c r="N135" s="21"/>
      <c r="O135" s="21"/>
      <c r="P135" s="21"/>
      <c r="Q135" s="21"/>
      <c r="R135" s="21"/>
      <c r="S135" s="21"/>
      <c r="T135" s="21"/>
      <c r="U135" s="21"/>
    </row>
    <row r="136" spans="1:21" ht="12.75" customHeight="1" hidden="1" outlineLevel="1">
      <c r="A136" s="4"/>
      <c r="B136" s="2"/>
      <c r="C136" s="21"/>
      <c r="I136" s="21"/>
      <c r="J136" s="21"/>
      <c r="K136" s="21"/>
      <c r="L136" s="21"/>
      <c r="M136" s="21"/>
      <c r="N136" s="21"/>
      <c r="O136" s="21"/>
      <c r="P136" s="21"/>
      <c r="Q136" s="21"/>
      <c r="R136" s="21"/>
      <c r="S136" s="21"/>
      <c r="T136" s="21"/>
      <c r="U136" s="21"/>
    </row>
    <row r="137" spans="1:21" ht="12.75" customHeight="1" hidden="1" outlineLevel="1">
      <c r="A137" s="4" t="s">
        <v>601</v>
      </c>
      <c r="C137"/>
      <c r="E137" s="4" t="s">
        <v>246</v>
      </c>
      <c r="F137" s="127">
        <v>365</v>
      </c>
      <c r="G137" s="4" t="s">
        <v>247</v>
      </c>
      <c r="H137" s="28"/>
      <c r="I137" s="21"/>
      <c r="J137"/>
      <c r="K137"/>
      <c r="L137"/>
      <c r="M137"/>
      <c r="N137"/>
      <c r="O137"/>
      <c r="P137"/>
      <c r="Q137"/>
      <c r="R137"/>
      <c r="S137"/>
      <c r="T137"/>
      <c r="U137"/>
    </row>
    <row r="138" spans="1:21" ht="12.75" customHeight="1" hidden="1" outlineLevel="1">
      <c r="A138" s="4"/>
      <c r="C138"/>
      <c r="H138" s="28"/>
      <c r="I138" s="21"/>
      <c r="J138"/>
      <c r="K138"/>
      <c r="L138"/>
      <c r="M138"/>
      <c r="N138"/>
      <c r="O138"/>
      <c r="P138"/>
      <c r="Q138"/>
      <c r="R138"/>
      <c r="S138"/>
      <c r="T138"/>
      <c r="U138"/>
    </row>
    <row r="140" spans="1:21" s="131" customFormat="1" ht="12.75">
      <c r="A140" s="125"/>
      <c r="B140" s="125"/>
      <c r="C140" s="132"/>
      <c r="D140" s="104"/>
      <c r="E140" s="104" t="s">
        <v>136</v>
      </c>
      <c r="F140" s="137"/>
      <c r="G140" s="125"/>
      <c r="H140" s="137"/>
      <c r="I140" s="104"/>
      <c r="J140" s="104"/>
      <c r="K140" s="104"/>
      <c r="L140" s="104"/>
      <c r="M140" s="104"/>
      <c r="N140" s="104"/>
      <c r="O140" s="104"/>
      <c r="P140" s="104"/>
      <c r="Q140" s="104"/>
      <c r="R140" s="104"/>
      <c r="S140" s="104"/>
      <c r="T140" s="104"/>
      <c r="U140" s="104"/>
    </row>
  </sheetData>
  <sheetProtection/>
  <conditionalFormatting sqref="A5">
    <cfRule type="cellIs" priority="4318" dxfId="14" operator="notEqual" stopIfTrue="1">
      <formula>0</formula>
    </cfRule>
    <cfRule type="cellIs" priority="4319" dxfId="14" operator="equal" stopIfTrue="1">
      <formula>""</formula>
    </cfRule>
  </conditionalFormatting>
  <conditionalFormatting sqref="C13:D13 C16:D17">
    <cfRule type="cellIs" priority="2798" dxfId="19" operator="equal" stopIfTrue="1">
      <formula>"N/A"</formula>
    </cfRule>
    <cfRule type="cellIs" priority="2799" dxfId="18" operator="notEqual" stopIfTrue="1">
      <formula>""</formula>
    </cfRule>
  </conditionalFormatting>
  <conditionalFormatting sqref="J3:U3">
    <cfRule type="cellIs" priority="2424" dxfId="1" operator="equal" stopIfTrue="1">
      <formula>$F$21</formula>
    </cfRule>
    <cfRule type="cellIs" priority="2425" dxfId="0" operator="equal" stopIfTrue="1">
      <formula>$F$20</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&amp;L&amp;F&amp;CSheet: &amp;A&amp;ROFFICIAL</oddHeader>
    <oddFooter>&amp;LPrinted on &amp;D at &amp;T&amp;CPage &amp;P of &amp;N&amp;ROfwat</oddFooter>
  </headerFooter>
  <colBreaks count="1" manualBreakCount="1">
    <brk id="4" max="65535" man="1"/>
  </colBreaks>
</worksheet>
</file>

<file path=xl/worksheets/sheet7.xml><?xml version="1.0" encoding="utf-8"?>
<worksheet xmlns="http://schemas.openxmlformats.org/spreadsheetml/2006/main" xmlns:r="http://schemas.openxmlformats.org/officeDocument/2006/relationships">
  <sheetPr codeName="Sheet12">
    <outlinePr summaryBelow="0" summaryRight="0"/>
    <pageSetUpPr fitToPage="1"/>
  </sheetPr>
  <dimension ref="A1:U103"/>
  <sheetViews>
    <sheetView showGridLines="0" defaultGridColor="0" zoomScale="80" zoomScaleNormal="80" zoomScalePageLayoutView="0" colorId="22" workbookViewId="0" topLeftCell="A1">
      <pane xSplit="9" ySplit="5" topLeftCell="J6"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outlineLevelRow="1"/>
  <cols>
    <col min="1" max="2" width="1.28515625" style="35" customWidth="1"/>
    <col min="3" max="3" width="1.28515625" style="34" customWidth="1"/>
    <col min="4" max="4" width="1.28515625" style="4" customWidth="1"/>
    <col min="5" max="5" width="75.7109375" style="0" customWidth="1"/>
    <col min="6" max="6" width="12.7109375" style="0" customWidth="1"/>
    <col min="7" max="7" width="11.7109375" style="0" customWidth="1"/>
    <col min="8" max="8" width="15.7109375" style="0" customWidth="1"/>
    <col min="9" max="9" width="2.7109375" style="0" customWidth="1"/>
    <col min="10" max="21" width="12.7109375" style="0" customWidth="1"/>
    <col min="22" max="16384" width="9.140625" style="0" hidden="1" customWidth="1"/>
  </cols>
  <sheetData>
    <row r="1" spans="1:21" ht="26.25">
      <c r="A1" s="22" t="str">
        <f ca="1">RIGHT(CELL("FILENAME",$A$1),LEN(CELL("FILENAME",$A$1))-SEARCH("]",CELL("FILENAME",$A$1)))</f>
        <v>Time</v>
      </c>
      <c r="B1" s="22"/>
      <c r="C1" s="23"/>
      <c r="D1" s="36"/>
      <c r="E1" s="36"/>
      <c r="F1" s="139"/>
      <c r="G1" s="139"/>
      <c r="H1" s="139"/>
      <c r="I1" s="36"/>
      <c r="J1" s="88"/>
      <c r="K1" s="36"/>
      <c r="L1" s="36"/>
      <c r="M1" s="36"/>
      <c r="N1" s="36"/>
      <c r="O1" s="36"/>
      <c r="P1" s="36"/>
      <c r="Q1" s="36"/>
      <c r="R1" s="36"/>
      <c r="S1" s="36"/>
      <c r="T1" s="36"/>
      <c r="U1" s="36"/>
    </row>
    <row r="2" spans="5:21" ht="12.75">
      <c r="E2" s="4" t="str">
        <f>Time!E$25</f>
        <v>Model period ending</v>
      </c>
      <c r="F2" s="133"/>
      <c r="G2" s="133"/>
      <c r="H2" s="4"/>
      <c r="I2" s="4"/>
      <c r="J2" s="3">
        <f>Time!J$25</f>
        <v>41364</v>
      </c>
      <c r="K2" s="3">
        <f>Time!K$25</f>
        <v>41729</v>
      </c>
      <c r="L2" s="3">
        <f>Time!L$25</f>
        <v>42094</v>
      </c>
      <c r="M2" s="3">
        <f>Time!M$25</f>
        <v>42460</v>
      </c>
      <c r="N2" s="3">
        <f>Time!N$25</f>
        <v>42825</v>
      </c>
      <c r="O2" s="3">
        <f>Time!O$25</f>
        <v>43190</v>
      </c>
      <c r="P2" s="3">
        <f>Time!P$25</f>
        <v>43555</v>
      </c>
      <c r="Q2" s="3">
        <f>Time!Q$25</f>
        <v>43921</v>
      </c>
      <c r="R2" s="3">
        <f>Time!R$25</f>
        <v>44286</v>
      </c>
      <c r="S2" s="3">
        <f>Time!S$25</f>
        <v>44651</v>
      </c>
      <c r="T2" s="3">
        <f>Time!T$25</f>
        <v>45016</v>
      </c>
      <c r="U2" s="3">
        <f>Time!U$25</f>
        <v>45382</v>
      </c>
    </row>
    <row r="3" spans="5:21" ht="12.75">
      <c r="E3" s="4" t="str">
        <f>Time!E$80</f>
        <v>Timeline label</v>
      </c>
      <c r="F3" s="26"/>
      <c r="G3" s="26"/>
      <c r="H3" s="4"/>
      <c r="I3" s="4"/>
      <c r="J3" s="124" t="str">
        <f>Time!J$80</f>
        <v>Pre-Fcst</v>
      </c>
      <c r="K3" s="124" t="str">
        <f>Time!K$80</f>
        <v>Pre-Fcst</v>
      </c>
      <c r="L3" s="124" t="str">
        <f>Time!L$80</f>
        <v>Pre-Fcst</v>
      </c>
      <c r="M3" s="124" t="str">
        <f>Time!M$80</f>
        <v>Pre-Fcst</v>
      </c>
      <c r="N3" s="124" t="str">
        <f>Time!N$80</f>
        <v>Pre-Fcst</v>
      </c>
      <c r="O3" s="124" t="str">
        <f>Time!O$80</f>
        <v>Pre-Fcst</v>
      </c>
      <c r="P3" s="124" t="str">
        <f>Time!P$80</f>
        <v>Pre-Fcst</v>
      </c>
      <c r="Q3" s="124" t="str">
        <f>Time!Q$80</f>
        <v>Pre-Fcst</v>
      </c>
      <c r="R3" s="124" t="str">
        <f>Time!R$80</f>
        <v>Forecast</v>
      </c>
      <c r="S3" s="124" t="str">
        <f>Time!S$80</f>
        <v>Forecast</v>
      </c>
      <c r="T3" s="124" t="str">
        <f>Time!T$80</f>
        <v>Forecast</v>
      </c>
      <c r="U3" s="124" t="str">
        <f>Time!U$80</f>
        <v>Forecast</v>
      </c>
    </row>
    <row r="4" spans="4:21" ht="12.75">
      <c r="D4" s="288"/>
      <c r="E4" s="4" t="str">
        <f>Time!E$103</f>
        <v>Financial year ending</v>
      </c>
      <c r="F4" s="26"/>
      <c r="G4" s="26"/>
      <c r="H4" s="4"/>
      <c r="I4" s="4"/>
      <c r="J4" s="24">
        <f>Time!J$103</f>
        <v>2013</v>
      </c>
      <c r="K4" s="24">
        <f>Time!K$103</f>
        <v>2014</v>
      </c>
      <c r="L4" s="24">
        <f>Time!L$103</f>
        <v>2015</v>
      </c>
      <c r="M4" s="24">
        <f>Time!M$103</f>
        <v>2016</v>
      </c>
      <c r="N4" s="24">
        <f>Time!N$103</f>
        <v>2017</v>
      </c>
      <c r="O4" s="24">
        <f>Time!O$103</f>
        <v>2018</v>
      </c>
      <c r="P4" s="24">
        <f>Time!P$103</f>
        <v>2019</v>
      </c>
      <c r="Q4" s="24">
        <f>Time!Q$103</f>
        <v>2020</v>
      </c>
      <c r="R4" s="24">
        <f>Time!R$103</f>
        <v>2021</v>
      </c>
      <c r="S4" s="24">
        <f>Time!S$103</f>
        <v>2022</v>
      </c>
      <c r="T4" s="24">
        <f>Time!T$103</f>
        <v>2023</v>
      </c>
      <c r="U4" s="24">
        <f>Time!U$103</f>
        <v>2024</v>
      </c>
    </row>
    <row r="5" spans="5:21" ht="12.75">
      <c r="E5" s="4" t="str">
        <f>Time!E$10</f>
        <v>Model column counter</v>
      </c>
      <c r="F5" s="38" t="s">
        <v>133</v>
      </c>
      <c r="G5" s="35" t="s">
        <v>134</v>
      </c>
      <c r="H5" s="38" t="s">
        <v>135</v>
      </c>
      <c r="I5" s="4"/>
      <c r="J5" s="4">
        <f>Time!J$10</f>
        <v>1</v>
      </c>
      <c r="K5" s="4">
        <f>Time!K$10</f>
        <v>2</v>
      </c>
      <c r="L5" s="4">
        <f>Time!L$10</f>
        <v>3</v>
      </c>
      <c r="M5" s="4">
        <f>Time!M$10</f>
        <v>4</v>
      </c>
      <c r="N5" s="4">
        <f>Time!N$10</f>
        <v>5</v>
      </c>
      <c r="O5" s="4">
        <f>Time!O$10</f>
        <v>6</v>
      </c>
      <c r="P5" s="4">
        <f>Time!P$10</f>
        <v>7</v>
      </c>
      <c r="Q5" s="4">
        <f>Time!Q$10</f>
        <v>8</v>
      </c>
      <c r="R5" s="4">
        <f>Time!R$10</f>
        <v>9</v>
      </c>
      <c r="S5" s="4">
        <f>Time!S$10</f>
        <v>10</v>
      </c>
      <c r="T5" s="4">
        <f>Time!T$10</f>
        <v>11</v>
      </c>
      <c r="U5" s="4">
        <f>Time!U$10</f>
        <v>12</v>
      </c>
    </row>
    <row r="6" ht="12.75">
      <c r="D6" s="288"/>
    </row>
    <row r="7" spans="1:21" ht="12.75" customHeight="1" collapsed="1">
      <c r="A7" s="43" t="s">
        <v>248</v>
      </c>
      <c r="B7" s="43"/>
      <c r="C7" s="44"/>
      <c r="D7" s="43"/>
      <c r="E7" s="43"/>
      <c r="F7" s="43"/>
      <c r="G7" s="43"/>
      <c r="H7" s="43"/>
      <c r="I7" s="43"/>
      <c r="J7" s="43"/>
      <c r="K7" s="43"/>
      <c r="L7" s="43"/>
      <c r="M7" s="43"/>
      <c r="N7" s="43"/>
      <c r="O7" s="43"/>
      <c r="P7" s="43"/>
      <c r="Q7" s="43"/>
      <c r="R7" s="43"/>
      <c r="S7" s="43"/>
      <c r="T7" s="43"/>
      <c r="U7" s="43"/>
    </row>
    <row r="8" spans="5:21" ht="12.75" hidden="1" outlineLevel="1">
      <c r="E8" s="4"/>
      <c r="F8" s="4"/>
      <c r="G8" s="4"/>
      <c r="H8" s="4"/>
      <c r="I8" s="4"/>
      <c r="J8" s="4"/>
      <c r="K8" s="4"/>
      <c r="L8" s="4"/>
      <c r="M8" s="4"/>
      <c r="N8" s="4"/>
      <c r="O8" s="4"/>
      <c r="P8" s="4"/>
      <c r="Q8" s="4"/>
      <c r="R8" s="4"/>
      <c r="S8" s="4"/>
      <c r="T8" s="4"/>
      <c r="U8" s="4"/>
    </row>
    <row r="9" spans="2:21" ht="12.75" hidden="1" outlineLevel="1">
      <c r="B9" s="35" t="s">
        <v>249</v>
      </c>
      <c r="E9" s="4"/>
      <c r="F9" s="4"/>
      <c r="G9" s="4"/>
      <c r="H9" s="4"/>
      <c r="I9" s="4"/>
      <c r="J9" s="4"/>
      <c r="K9" s="4"/>
      <c r="L9" s="4"/>
      <c r="M9" s="4"/>
      <c r="N9" s="4"/>
      <c r="O9" s="4"/>
      <c r="P9" s="4"/>
      <c r="Q9" s="4"/>
      <c r="R9" s="4"/>
      <c r="S9" s="4"/>
      <c r="T9" s="4"/>
      <c r="U9" s="4"/>
    </row>
    <row r="10" spans="1:21" s="149" customFormat="1" ht="12.75" hidden="1" outlineLevel="1">
      <c r="A10" s="163"/>
      <c r="B10" s="163"/>
      <c r="C10" s="164"/>
      <c r="D10" s="165"/>
      <c r="E10" s="201" t="s">
        <v>250</v>
      </c>
      <c r="F10" s="201"/>
      <c r="G10" s="201" t="s">
        <v>251</v>
      </c>
      <c r="H10" s="201"/>
      <c r="I10" s="202"/>
      <c r="J10" s="201">
        <f aca="true" t="shared" si="0" ref="J10:R10">I10+1</f>
        <v>1</v>
      </c>
      <c r="K10" s="201">
        <f t="shared" si="0"/>
        <v>2</v>
      </c>
      <c r="L10" s="201">
        <f t="shared" si="0"/>
        <v>3</v>
      </c>
      <c r="M10" s="201">
        <f t="shared" si="0"/>
        <v>4</v>
      </c>
      <c r="N10" s="201">
        <f t="shared" si="0"/>
        <v>5</v>
      </c>
      <c r="O10" s="201">
        <f t="shared" si="0"/>
        <v>6</v>
      </c>
      <c r="P10" s="201">
        <f t="shared" si="0"/>
        <v>7</v>
      </c>
      <c r="Q10" s="201">
        <f t="shared" si="0"/>
        <v>8</v>
      </c>
      <c r="R10" s="201">
        <f t="shared" si="0"/>
        <v>9</v>
      </c>
      <c r="S10" s="201">
        <f>R10+1</f>
        <v>10</v>
      </c>
      <c r="T10" s="201">
        <f>S10+1</f>
        <v>11</v>
      </c>
      <c r="U10" s="201">
        <f>T10+1</f>
        <v>12</v>
      </c>
    </row>
    <row r="11" spans="5:21" ht="12.75" hidden="1" outlineLevel="1">
      <c r="E11" s="4" t="s">
        <v>252</v>
      </c>
      <c r="F11" s="13">
        <f>MAX(J10:U10)</f>
        <v>12</v>
      </c>
      <c r="G11" s="4" t="s">
        <v>253</v>
      </c>
      <c r="H11" s="4"/>
      <c r="I11" s="4"/>
      <c r="J11" s="4"/>
      <c r="K11" s="4"/>
      <c r="L11" s="4"/>
      <c r="M11" s="4"/>
      <c r="N11" s="4"/>
      <c r="O11" s="4"/>
      <c r="P11" s="4"/>
      <c r="Q11" s="4"/>
      <c r="R11" s="4"/>
      <c r="S11" s="4"/>
      <c r="T11" s="4"/>
      <c r="U11" s="4"/>
    </row>
    <row r="12" spans="5:21" ht="12.75" hidden="1" outlineLevel="1">
      <c r="E12" s="4"/>
      <c r="F12" s="4"/>
      <c r="G12" s="4"/>
      <c r="H12" s="4"/>
      <c r="I12" s="4"/>
      <c r="J12" s="4"/>
      <c r="K12" s="4"/>
      <c r="L12" s="4"/>
      <c r="M12" s="4"/>
      <c r="N12" s="4"/>
      <c r="O12" s="4"/>
      <c r="P12" s="4"/>
      <c r="Q12" s="4"/>
      <c r="R12" s="4"/>
      <c r="S12" s="4"/>
      <c r="T12" s="4"/>
      <c r="U12" s="4"/>
    </row>
    <row r="13" spans="5:21" ht="12.75" hidden="1" outlineLevel="1">
      <c r="E13" s="37" t="str">
        <f aca="true" t="shared" si="1" ref="E13:U13">E$10</f>
        <v>Model column counter</v>
      </c>
      <c r="F13" s="37">
        <f t="shared" si="1"/>
        <v>0</v>
      </c>
      <c r="G13" s="37" t="str">
        <f t="shared" si="1"/>
        <v>counter</v>
      </c>
      <c r="H13" s="37">
        <f t="shared" si="1"/>
        <v>0</v>
      </c>
      <c r="I13" s="37">
        <f t="shared" si="1"/>
        <v>0</v>
      </c>
      <c r="J13" s="37">
        <f t="shared" si="1"/>
        <v>1</v>
      </c>
      <c r="K13" s="37">
        <f t="shared" si="1"/>
        <v>2</v>
      </c>
      <c r="L13" s="37">
        <f t="shared" si="1"/>
        <v>3</v>
      </c>
      <c r="M13" s="37">
        <f t="shared" si="1"/>
        <v>4</v>
      </c>
      <c r="N13" s="37">
        <f t="shared" si="1"/>
        <v>5</v>
      </c>
      <c r="O13" s="37">
        <f t="shared" si="1"/>
        <v>6</v>
      </c>
      <c r="P13" s="37">
        <f t="shared" si="1"/>
        <v>7</v>
      </c>
      <c r="Q13" s="37">
        <f t="shared" si="1"/>
        <v>8</v>
      </c>
      <c r="R13" s="37">
        <f t="shared" si="1"/>
        <v>9</v>
      </c>
      <c r="S13" s="37">
        <f t="shared" si="1"/>
        <v>10</v>
      </c>
      <c r="T13" s="37">
        <f t="shared" si="1"/>
        <v>11</v>
      </c>
      <c r="U13" s="37">
        <f t="shared" si="1"/>
        <v>12</v>
      </c>
    </row>
    <row r="14" spans="5:21" ht="12.75" hidden="1" outlineLevel="1">
      <c r="E14" s="4" t="s">
        <v>254</v>
      </c>
      <c r="F14" s="4"/>
      <c r="G14" s="4" t="s">
        <v>255</v>
      </c>
      <c r="H14" s="4">
        <f>SUM(J14:U14)</f>
        <v>1</v>
      </c>
      <c r="I14" s="4"/>
      <c r="J14" s="4">
        <f aca="true" t="shared" si="2" ref="J14:R14">IF(J13=1,1,0)</f>
        <v>1</v>
      </c>
      <c r="K14" s="4">
        <f t="shared" si="2"/>
        <v>0</v>
      </c>
      <c r="L14" s="4">
        <f t="shared" si="2"/>
        <v>0</v>
      </c>
      <c r="M14" s="4">
        <f t="shared" si="2"/>
        <v>0</v>
      </c>
      <c r="N14" s="4">
        <f t="shared" si="2"/>
        <v>0</v>
      </c>
      <c r="O14" s="4">
        <f t="shared" si="2"/>
        <v>0</v>
      </c>
      <c r="P14" s="4">
        <f t="shared" si="2"/>
        <v>0</v>
      </c>
      <c r="Q14" s="4">
        <f t="shared" si="2"/>
        <v>0</v>
      </c>
      <c r="R14" s="4">
        <f t="shared" si="2"/>
        <v>0</v>
      </c>
      <c r="S14" s="4">
        <f>IF(S13=1,1,0)</f>
        <v>0</v>
      </c>
      <c r="T14" s="4">
        <f>IF(T13=1,1,0)</f>
        <v>0</v>
      </c>
      <c r="U14" s="4">
        <f>IF(U13=1,1,0)</f>
        <v>0</v>
      </c>
    </row>
    <row r="15" spans="5:21" ht="12.75" hidden="1" outlineLevel="1">
      <c r="E15" s="4"/>
      <c r="F15" s="4"/>
      <c r="G15" s="4"/>
      <c r="H15" s="4"/>
      <c r="I15" s="4"/>
      <c r="J15" s="4"/>
      <c r="K15" s="4"/>
      <c r="L15" s="4"/>
      <c r="M15" s="4"/>
      <c r="N15" s="4"/>
      <c r="O15" s="4"/>
      <c r="P15" s="4"/>
      <c r="Q15" s="4"/>
      <c r="R15" s="4"/>
      <c r="S15" s="4"/>
      <c r="T15" s="4"/>
      <c r="U15" s="4"/>
    </row>
    <row r="16" spans="2:21" ht="12.75" hidden="1" outlineLevel="1">
      <c r="B16" s="35" t="s">
        <v>256</v>
      </c>
      <c r="E16" s="4"/>
      <c r="F16" s="4"/>
      <c r="G16" s="4"/>
      <c r="H16" s="4"/>
      <c r="I16" s="4"/>
      <c r="J16" s="4"/>
      <c r="K16" s="4"/>
      <c r="L16" s="4"/>
      <c r="M16" s="4"/>
      <c r="N16" s="4"/>
      <c r="O16" s="4"/>
      <c r="P16" s="4"/>
      <c r="Q16" s="4"/>
      <c r="R16" s="4"/>
      <c r="S16" s="4"/>
      <c r="T16" s="4"/>
      <c r="U16" s="4"/>
    </row>
    <row r="17" spans="5:21" ht="12.75" hidden="1" outlineLevel="1">
      <c r="E17" s="15" t="str">
        <f>Inputs!E$13</f>
        <v>1st model column start date</v>
      </c>
      <c r="F17" s="15">
        <f>Inputs!F$13</f>
        <v>41000</v>
      </c>
      <c r="G17" s="15" t="str">
        <f>Inputs!G$13</f>
        <v>date</v>
      </c>
      <c r="H17" s="15"/>
      <c r="I17" s="15"/>
      <c r="J17" s="15"/>
      <c r="K17" s="15"/>
      <c r="L17" s="15"/>
      <c r="M17" s="15"/>
      <c r="N17" s="15"/>
      <c r="O17" s="15"/>
      <c r="P17" s="15"/>
      <c r="Q17" s="15"/>
      <c r="R17" s="15"/>
      <c r="S17" s="15"/>
      <c r="T17" s="15"/>
      <c r="U17" s="15"/>
    </row>
    <row r="18" spans="5:21" ht="12.75" hidden="1" outlineLevel="1">
      <c r="E18" s="9" t="str">
        <f>Inputs!E$133</f>
        <v>Months per model period</v>
      </c>
      <c r="F18" s="9">
        <f>Inputs!F$133</f>
        <v>12</v>
      </c>
      <c r="G18" s="9" t="str">
        <f>Inputs!G$133</f>
        <v>months</v>
      </c>
      <c r="H18" s="9"/>
      <c r="I18" s="9"/>
      <c r="J18" s="9"/>
      <c r="K18" s="9"/>
      <c r="L18" s="9"/>
      <c r="M18" s="9"/>
      <c r="N18" s="9"/>
      <c r="O18" s="9"/>
      <c r="P18" s="9"/>
      <c r="Q18" s="9"/>
      <c r="R18" s="9"/>
      <c r="S18" s="9"/>
      <c r="T18" s="9"/>
      <c r="U18" s="9"/>
    </row>
    <row r="19" spans="5:21" ht="12.75" hidden="1" outlineLevel="1">
      <c r="E19" s="4" t="str">
        <f aca="true" t="shared" si="3" ref="E19:U19">E$14</f>
        <v>1st model column flag</v>
      </c>
      <c r="F19" s="4">
        <f t="shared" si="3"/>
        <v>0</v>
      </c>
      <c r="G19" s="4" t="str">
        <f t="shared" si="3"/>
        <v>flag</v>
      </c>
      <c r="H19" s="4">
        <f t="shared" si="3"/>
        <v>1</v>
      </c>
      <c r="I19" s="4">
        <f t="shared" si="3"/>
        <v>0</v>
      </c>
      <c r="J19" s="4">
        <f t="shared" si="3"/>
        <v>1</v>
      </c>
      <c r="K19" s="4">
        <f t="shared" si="3"/>
        <v>0</v>
      </c>
      <c r="L19" s="4">
        <f t="shared" si="3"/>
        <v>0</v>
      </c>
      <c r="M19" s="4">
        <f t="shared" si="3"/>
        <v>0</v>
      </c>
      <c r="N19" s="4">
        <f t="shared" si="3"/>
        <v>0</v>
      </c>
      <c r="O19" s="4">
        <f t="shared" si="3"/>
        <v>0</v>
      </c>
      <c r="P19" s="4">
        <f t="shared" si="3"/>
        <v>0</v>
      </c>
      <c r="Q19" s="4">
        <f t="shared" si="3"/>
        <v>0</v>
      </c>
      <c r="R19" s="4">
        <f t="shared" si="3"/>
        <v>0</v>
      </c>
      <c r="S19" s="4">
        <f t="shared" si="3"/>
        <v>0</v>
      </c>
      <c r="T19" s="4">
        <f t="shared" si="3"/>
        <v>0</v>
      </c>
      <c r="U19" s="4">
        <f t="shared" si="3"/>
        <v>0</v>
      </c>
    </row>
    <row r="20" spans="5:21" ht="12.75" hidden="1" outlineLevel="1">
      <c r="E20" s="4" t="s">
        <v>256</v>
      </c>
      <c r="F20" s="11"/>
      <c r="G20" s="8" t="s">
        <v>141</v>
      </c>
      <c r="H20" s="4"/>
      <c r="I20" s="129"/>
      <c r="J20" s="12">
        <f aca="true" t="shared" si="4" ref="J20:R20">IF(J19=1,$F17,DATE(YEAR(I20),MONTH(I20)+$F18,DAY(1)))</f>
        <v>41000</v>
      </c>
      <c r="K20" s="12">
        <f t="shared" si="4"/>
        <v>41365</v>
      </c>
      <c r="L20" s="12">
        <f t="shared" si="4"/>
        <v>41730</v>
      </c>
      <c r="M20" s="12">
        <f t="shared" si="4"/>
        <v>42095</v>
      </c>
      <c r="N20" s="12">
        <f t="shared" si="4"/>
        <v>42461</v>
      </c>
      <c r="O20" s="12">
        <f t="shared" si="4"/>
        <v>42826</v>
      </c>
      <c r="P20" s="12">
        <f t="shared" si="4"/>
        <v>43191</v>
      </c>
      <c r="Q20" s="12">
        <f t="shared" si="4"/>
        <v>43556</v>
      </c>
      <c r="R20" s="12">
        <f t="shared" si="4"/>
        <v>43922</v>
      </c>
      <c r="S20" s="12">
        <f>IF(S19=1,$F17,DATE(YEAR(R20),MONTH(R20)+$F18,DAY(1)))</f>
        <v>44287</v>
      </c>
      <c r="T20" s="12">
        <f>IF(T19=1,$F17,DATE(YEAR(S20),MONTH(S20)+$F18,DAY(1)))</f>
        <v>44652</v>
      </c>
      <c r="U20" s="12">
        <f>IF(U19=1,$F17,DATE(YEAR(T20),MONTH(T20)+$F18,DAY(1)))</f>
        <v>45017</v>
      </c>
    </row>
    <row r="21" spans="5:21" ht="12.75" hidden="1" outlineLevel="1">
      <c r="E21" s="4"/>
      <c r="F21" s="11"/>
      <c r="G21" s="8"/>
      <c r="H21" s="4"/>
      <c r="I21" s="12"/>
      <c r="J21" s="12"/>
      <c r="K21" s="12"/>
      <c r="L21" s="12"/>
      <c r="M21" s="12"/>
      <c r="N21" s="12"/>
      <c r="O21" s="12"/>
      <c r="P21" s="12"/>
      <c r="Q21" s="12"/>
      <c r="R21" s="12"/>
      <c r="S21" s="12"/>
      <c r="T21" s="12"/>
      <c r="U21" s="12"/>
    </row>
    <row r="22" spans="2:21" ht="12.75" hidden="1" outlineLevel="1">
      <c r="B22" s="35" t="s">
        <v>257</v>
      </c>
      <c r="E22" s="4"/>
      <c r="F22" s="11"/>
      <c r="G22" s="8"/>
      <c r="H22" s="4"/>
      <c r="I22" s="12"/>
      <c r="J22" s="12"/>
      <c r="K22" s="12"/>
      <c r="L22" s="12"/>
      <c r="M22" s="12"/>
      <c r="N22" s="12"/>
      <c r="O22" s="12"/>
      <c r="P22" s="12"/>
      <c r="Q22" s="12"/>
      <c r="R22" s="12"/>
      <c r="S22" s="12"/>
      <c r="T22" s="12"/>
      <c r="U22" s="12"/>
    </row>
    <row r="23" spans="5:21" ht="12.75" hidden="1" outlineLevel="1">
      <c r="E23" s="9" t="str">
        <f>Inputs!E$133</f>
        <v>Months per model period</v>
      </c>
      <c r="F23" s="9">
        <f>Inputs!F$133</f>
        <v>12</v>
      </c>
      <c r="G23" s="9" t="str">
        <f>Inputs!G$133</f>
        <v>months</v>
      </c>
      <c r="H23" s="9"/>
      <c r="I23" s="9"/>
      <c r="J23" s="9"/>
      <c r="K23" s="9"/>
      <c r="L23" s="9"/>
      <c r="M23" s="9"/>
      <c r="N23" s="9"/>
      <c r="O23" s="9"/>
      <c r="P23" s="9"/>
      <c r="Q23" s="9"/>
      <c r="R23" s="9"/>
      <c r="S23" s="9"/>
      <c r="T23" s="9"/>
      <c r="U23" s="9"/>
    </row>
    <row r="24" spans="5:21" ht="12.75" hidden="1" outlineLevel="1">
      <c r="E24" s="12" t="str">
        <f aca="true" t="shared" si="5" ref="E24:U24">E$20</f>
        <v>Model period beginning</v>
      </c>
      <c r="F24" s="3">
        <f t="shared" si="5"/>
        <v>0</v>
      </c>
      <c r="G24" s="12" t="str">
        <f t="shared" si="5"/>
        <v>date</v>
      </c>
      <c r="H24" s="12">
        <f t="shared" si="5"/>
        <v>0</v>
      </c>
      <c r="I24" s="12">
        <f t="shared" si="5"/>
        <v>0</v>
      </c>
      <c r="J24" s="12">
        <f t="shared" si="5"/>
        <v>41000</v>
      </c>
      <c r="K24" s="12">
        <f t="shared" si="5"/>
        <v>41365</v>
      </c>
      <c r="L24" s="12">
        <f t="shared" si="5"/>
        <v>41730</v>
      </c>
      <c r="M24" s="12">
        <f t="shared" si="5"/>
        <v>42095</v>
      </c>
      <c r="N24" s="12">
        <f t="shared" si="5"/>
        <v>42461</v>
      </c>
      <c r="O24" s="12">
        <f t="shared" si="5"/>
        <v>42826</v>
      </c>
      <c r="P24" s="12">
        <f t="shared" si="5"/>
        <v>43191</v>
      </c>
      <c r="Q24" s="12">
        <f t="shared" si="5"/>
        <v>43556</v>
      </c>
      <c r="R24" s="12">
        <f t="shared" si="5"/>
        <v>43922</v>
      </c>
      <c r="S24" s="12">
        <f t="shared" si="5"/>
        <v>44287</v>
      </c>
      <c r="T24" s="12">
        <f t="shared" si="5"/>
        <v>44652</v>
      </c>
      <c r="U24" s="12">
        <f t="shared" si="5"/>
        <v>45017</v>
      </c>
    </row>
    <row r="25" spans="1:21" s="149" customFormat="1" ht="12.75" hidden="1" outlineLevel="1">
      <c r="A25" s="163"/>
      <c r="B25" s="163"/>
      <c r="C25" s="164"/>
      <c r="D25" s="165"/>
      <c r="E25" s="203" t="s">
        <v>257</v>
      </c>
      <c r="F25" s="204"/>
      <c r="G25" s="203" t="s">
        <v>141</v>
      </c>
      <c r="H25" s="203"/>
      <c r="I25" s="203"/>
      <c r="J25" s="203">
        <f aca="true" t="shared" si="6" ref="J25:R25">DATE(YEAR(J24),MONTH(J24)+$F23,DAY(J24)-1)</f>
        <v>41364</v>
      </c>
      <c r="K25" s="203">
        <f t="shared" si="6"/>
        <v>41729</v>
      </c>
      <c r="L25" s="203">
        <f t="shared" si="6"/>
        <v>42094</v>
      </c>
      <c r="M25" s="203">
        <f t="shared" si="6"/>
        <v>42460</v>
      </c>
      <c r="N25" s="203">
        <f t="shared" si="6"/>
        <v>42825</v>
      </c>
      <c r="O25" s="203">
        <f t="shared" si="6"/>
        <v>43190</v>
      </c>
      <c r="P25" s="203">
        <f t="shared" si="6"/>
        <v>43555</v>
      </c>
      <c r="Q25" s="203">
        <f t="shared" si="6"/>
        <v>43921</v>
      </c>
      <c r="R25" s="203">
        <f t="shared" si="6"/>
        <v>44286</v>
      </c>
      <c r="S25" s="203">
        <f>DATE(YEAR(S24),MONTH(S24)+$F23,DAY(S24)-1)</f>
        <v>44651</v>
      </c>
      <c r="T25" s="203">
        <f>DATE(YEAR(T24),MONTH(T24)+$F23,DAY(T24)-1)</f>
        <v>45016</v>
      </c>
      <c r="U25" s="203">
        <f>DATE(YEAR(U24),MONTH(U24)+$F23,DAY(U24)-1)</f>
        <v>45382</v>
      </c>
    </row>
    <row r="26" spans="5:21" ht="12.75" hidden="1" outlineLevel="1">
      <c r="E26" s="4"/>
      <c r="F26" s="4"/>
      <c r="G26" s="4"/>
      <c r="H26" s="4"/>
      <c r="I26" s="4"/>
      <c r="J26" s="4"/>
      <c r="K26" s="4"/>
      <c r="L26" s="4"/>
      <c r="M26" s="4"/>
      <c r="N26" s="4"/>
      <c r="O26" s="4"/>
      <c r="P26" s="4"/>
      <c r="Q26" s="4"/>
      <c r="R26" s="4"/>
      <c r="S26" s="4"/>
      <c r="T26" s="4"/>
      <c r="U26" s="4"/>
    </row>
    <row r="27" spans="5:21" ht="12.75">
      <c r="E27" s="4"/>
      <c r="F27" s="4"/>
      <c r="G27" s="4"/>
      <c r="H27" s="4"/>
      <c r="I27" s="4"/>
      <c r="J27" s="4"/>
      <c r="K27" s="4"/>
      <c r="L27" s="4"/>
      <c r="M27" s="4"/>
      <c r="N27" s="4"/>
      <c r="O27" s="4"/>
      <c r="P27" s="4"/>
      <c r="Q27" s="4"/>
      <c r="R27" s="4"/>
      <c r="S27" s="4"/>
      <c r="T27" s="4"/>
      <c r="U27" s="4"/>
    </row>
    <row r="28" spans="1:21" ht="12.75" customHeight="1" collapsed="1">
      <c r="A28" s="43" t="s">
        <v>258</v>
      </c>
      <c r="B28" s="43"/>
      <c r="C28" s="44"/>
      <c r="D28" s="43"/>
      <c r="E28" s="43"/>
      <c r="F28" s="43"/>
      <c r="G28" s="43"/>
      <c r="H28" s="43"/>
      <c r="I28" s="43"/>
      <c r="J28" s="43"/>
      <c r="K28" s="43"/>
      <c r="L28" s="43"/>
      <c r="M28" s="43"/>
      <c r="N28" s="43"/>
      <c r="O28" s="43"/>
      <c r="P28" s="43"/>
      <c r="Q28" s="43"/>
      <c r="R28" s="43"/>
      <c r="S28" s="43"/>
      <c r="T28" s="43"/>
      <c r="U28" s="43"/>
    </row>
    <row r="29" spans="5:21" ht="12.75" hidden="1" outlineLevel="1">
      <c r="E29" s="4"/>
      <c r="F29" s="4"/>
      <c r="G29" s="4"/>
      <c r="H29" s="4"/>
      <c r="I29" s="4"/>
      <c r="J29" s="4"/>
      <c r="K29" s="4"/>
      <c r="L29" s="4"/>
      <c r="M29" s="4"/>
      <c r="N29" s="4"/>
      <c r="O29" s="4"/>
      <c r="P29" s="4"/>
      <c r="Q29" s="4"/>
      <c r="R29" s="4"/>
      <c r="S29" s="4"/>
      <c r="T29" s="4"/>
      <c r="U29" s="4"/>
    </row>
    <row r="30" spans="2:21" ht="12.75" hidden="1" outlineLevel="1">
      <c r="B30" s="35" t="s">
        <v>259</v>
      </c>
      <c r="E30" s="4"/>
      <c r="F30" s="4"/>
      <c r="G30" s="4"/>
      <c r="H30" s="4"/>
      <c r="I30" s="4"/>
      <c r="J30" s="4"/>
      <c r="K30" s="4"/>
      <c r="L30" s="4"/>
      <c r="M30" s="4"/>
      <c r="N30" s="4"/>
      <c r="O30" s="4"/>
      <c r="P30" s="4"/>
      <c r="Q30" s="4"/>
      <c r="R30" s="4"/>
      <c r="S30" s="4"/>
      <c r="T30" s="4"/>
      <c r="U30" s="4"/>
    </row>
    <row r="31" spans="5:21" ht="12.75" hidden="1" outlineLevel="1">
      <c r="E31" s="25" t="str">
        <f>Inputs!E$26</f>
        <v>Forecast start date</v>
      </c>
      <c r="F31" s="25">
        <f>Inputs!F$26</f>
        <v>43922</v>
      </c>
      <c r="G31" s="25" t="str">
        <f>Inputs!G$26</f>
        <v>date</v>
      </c>
      <c r="H31" s="25"/>
      <c r="I31" s="25"/>
      <c r="J31" s="25"/>
      <c r="K31" s="25"/>
      <c r="L31" s="25"/>
      <c r="M31" s="25"/>
      <c r="N31" s="25"/>
      <c r="O31" s="25"/>
      <c r="P31" s="25"/>
      <c r="Q31" s="25"/>
      <c r="R31" s="25"/>
      <c r="S31" s="25"/>
      <c r="T31" s="25"/>
      <c r="U31" s="25"/>
    </row>
    <row r="32" spans="5:21" ht="12.75" hidden="1" outlineLevel="1">
      <c r="E32" s="12" t="str">
        <f aca="true" t="shared" si="7" ref="E32:U32">E$20</f>
        <v>Model period beginning</v>
      </c>
      <c r="F32" s="12">
        <f t="shared" si="7"/>
        <v>0</v>
      </c>
      <c r="G32" s="12" t="str">
        <f t="shared" si="7"/>
        <v>date</v>
      </c>
      <c r="H32" s="12">
        <f t="shared" si="7"/>
        <v>0</v>
      </c>
      <c r="I32" s="12">
        <f t="shared" si="7"/>
        <v>0</v>
      </c>
      <c r="J32" s="12">
        <f t="shared" si="7"/>
        <v>41000</v>
      </c>
      <c r="K32" s="12">
        <f t="shared" si="7"/>
        <v>41365</v>
      </c>
      <c r="L32" s="12">
        <f t="shared" si="7"/>
        <v>41730</v>
      </c>
      <c r="M32" s="12">
        <f t="shared" si="7"/>
        <v>42095</v>
      </c>
      <c r="N32" s="12">
        <f t="shared" si="7"/>
        <v>42461</v>
      </c>
      <c r="O32" s="12">
        <f t="shared" si="7"/>
        <v>42826</v>
      </c>
      <c r="P32" s="12">
        <f t="shared" si="7"/>
        <v>43191</v>
      </c>
      <c r="Q32" s="12">
        <f t="shared" si="7"/>
        <v>43556</v>
      </c>
      <c r="R32" s="12">
        <f t="shared" si="7"/>
        <v>43922</v>
      </c>
      <c r="S32" s="12">
        <f t="shared" si="7"/>
        <v>44287</v>
      </c>
      <c r="T32" s="12">
        <f t="shared" si="7"/>
        <v>44652</v>
      </c>
      <c r="U32" s="12">
        <f t="shared" si="7"/>
        <v>45017</v>
      </c>
    </row>
    <row r="33" spans="5:21" ht="12.75" hidden="1" outlineLevel="1">
      <c r="E33" s="12" t="str">
        <f aca="true" t="shared" si="8" ref="E33:U33">E$25</f>
        <v>Model period ending</v>
      </c>
      <c r="F33" s="12">
        <f t="shared" si="8"/>
        <v>0</v>
      </c>
      <c r="G33" s="12" t="str">
        <f t="shared" si="8"/>
        <v>date</v>
      </c>
      <c r="H33" s="12">
        <f t="shared" si="8"/>
        <v>0</v>
      </c>
      <c r="I33" s="12">
        <f t="shared" si="8"/>
        <v>0</v>
      </c>
      <c r="J33" s="12">
        <f t="shared" si="8"/>
        <v>41364</v>
      </c>
      <c r="K33" s="12">
        <f t="shared" si="8"/>
        <v>41729</v>
      </c>
      <c r="L33" s="12">
        <f t="shared" si="8"/>
        <v>42094</v>
      </c>
      <c r="M33" s="12">
        <f t="shared" si="8"/>
        <v>42460</v>
      </c>
      <c r="N33" s="12">
        <f t="shared" si="8"/>
        <v>42825</v>
      </c>
      <c r="O33" s="12">
        <f t="shared" si="8"/>
        <v>43190</v>
      </c>
      <c r="P33" s="12">
        <f t="shared" si="8"/>
        <v>43555</v>
      </c>
      <c r="Q33" s="12">
        <f t="shared" si="8"/>
        <v>43921</v>
      </c>
      <c r="R33" s="12">
        <f t="shared" si="8"/>
        <v>44286</v>
      </c>
      <c r="S33" s="12">
        <f t="shared" si="8"/>
        <v>44651</v>
      </c>
      <c r="T33" s="12">
        <f t="shared" si="8"/>
        <v>45016</v>
      </c>
      <c r="U33" s="12">
        <f t="shared" si="8"/>
        <v>45382</v>
      </c>
    </row>
    <row r="34" spans="1:21" s="149" customFormat="1" ht="12.75" hidden="1" outlineLevel="1">
      <c r="A34" s="163"/>
      <c r="B34" s="163"/>
      <c r="C34" s="164"/>
      <c r="D34" s="165"/>
      <c r="E34" s="165" t="s">
        <v>259</v>
      </c>
      <c r="F34" s="165"/>
      <c r="G34" s="165" t="s">
        <v>255</v>
      </c>
      <c r="H34" s="165">
        <f>SUM(J34:U34)</f>
        <v>1</v>
      </c>
      <c r="I34" s="165"/>
      <c r="J34" s="165">
        <f>IF(AND($F31&gt;=J32,$F31&lt;=J33),1,0)</f>
        <v>0</v>
      </c>
      <c r="K34" s="165">
        <f aca="true" t="shared" si="9" ref="K34:R34">IF(AND($F31&gt;=K32,$F31&lt;=K33),1,0)</f>
        <v>0</v>
      </c>
      <c r="L34" s="165">
        <f t="shared" si="9"/>
        <v>0</v>
      </c>
      <c r="M34" s="165">
        <f t="shared" si="9"/>
        <v>0</v>
      </c>
      <c r="N34" s="165">
        <f t="shared" si="9"/>
        <v>0</v>
      </c>
      <c r="O34" s="165">
        <f t="shared" si="9"/>
        <v>0</v>
      </c>
      <c r="P34" s="165">
        <f t="shared" si="9"/>
        <v>0</v>
      </c>
      <c r="Q34" s="165">
        <f t="shared" si="9"/>
        <v>0</v>
      </c>
      <c r="R34" s="165">
        <f t="shared" si="9"/>
        <v>1</v>
      </c>
      <c r="S34" s="165">
        <f>IF(AND($F31&gt;=S32,$F31&lt;=S33),1,0)</f>
        <v>0</v>
      </c>
      <c r="T34" s="165">
        <f>IF(AND($F31&gt;=T32,$F31&lt;=T33),1,0)</f>
        <v>0</v>
      </c>
      <c r="U34" s="165">
        <f>IF(AND($F31&gt;=U32,$F31&lt;=U33),1,0)</f>
        <v>0</v>
      </c>
    </row>
    <row r="35" spans="5:21" ht="12.75" hidden="1" outlineLevel="1">
      <c r="E35" s="4"/>
      <c r="F35" s="4"/>
      <c r="G35" s="4"/>
      <c r="H35" s="4"/>
      <c r="I35" s="4"/>
      <c r="J35" s="4"/>
      <c r="K35" s="4"/>
      <c r="L35" s="4"/>
      <c r="M35" s="4"/>
      <c r="N35" s="4"/>
      <c r="O35" s="4"/>
      <c r="P35" s="4"/>
      <c r="Q35" s="4"/>
      <c r="R35" s="4"/>
      <c r="S35" s="4"/>
      <c r="T35" s="4"/>
      <c r="U35" s="4"/>
    </row>
    <row r="36" spans="2:21" ht="12.75" hidden="1" outlineLevel="1">
      <c r="B36" s="35" t="s">
        <v>260</v>
      </c>
      <c r="E36" s="4"/>
      <c r="F36" s="4"/>
      <c r="G36" s="4"/>
      <c r="H36" s="4"/>
      <c r="I36" s="4"/>
      <c r="J36" s="4"/>
      <c r="K36" s="4"/>
      <c r="L36" s="4"/>
      <c r="M36" s="4"/>
      <c r="N36" s="4"/>
      <c r="O36" s="4"/>
      <c r="P36" s="4"/>
      <c r="Q36" s="4"/>
      <c r="R36" s="4"/>
      <c r="S36" s="4"/>
      <c r="T36" s="4"/>
      <c r="U36" s="4"/>
    </row>
    <row r="37" spans="5:21" ht="12.75" hidden="1" outlineLevel="1">
      <c r="E37" s="25" t="str">
        <f>Inputs!E$26</f>
        <v>Forecast start date</v>
      </c>
      <c r="F37" s="25">
        <f>Inputs!F$26</f>
        <v>43922</v>
      </c>
      <c r="G37" s="25" t="str">
        <f>Inputs!G$26</f>
        <v>date</v>
      </c>
      <c r="H37" s="25"/>
      <c r="I37" s="25"/>
      <c r="J37" s="25"/>
      <c r="K37" s="25"/>
      <c r="L37" s="25"/>
      <c r="M37" s="25"/>
      <c r="N37" s="25"/>
      <c r="O37" s="25"/>
      <c r="P37" s="25"/>
      <c r="Q37" s="25"/>
      <c r="R37" s="25"/>
      <c r="S37" s="25"/>
      <c r="T37" s="25"/>
      <c r="U37" s="25"/>
    </row>
    <row r="38" spans="5:21" ht="12.75" hidden="1" outlineLevel="1">
      <c r="E38" s="19" t="str">
        <f>Inputs!E$27</f>
        <v>Forecast duration</v>
      </c>
      <c r="F38" s="19">
        <f>Inputs!F$27</f>
        <v>5</v>
      </c>
      <c r="G38" s="19" t="str">
        <f>Inputs!G$27</f>
        <v>years</v>
      </c>
      <c r="H38" s="19"/>
      <c r="I38" s="19"/>
      <c r="J38" s="19"/>
      <c r="K38" s="19"/>
      <c r="L38" s="19"/>
      <c r="M38" s="19"/>
      <c r="N38" s="19"/>
      <c r="O38" s="19"/>
      <c r="P38" s="19"/>
      <c r="Q38" s="19"/>
      <c r="R38" s="19"/>
      <c r="S38" s="19"/>
      <c r="T38" s="19"/>
      <c r="U38" s="19"/>
    </row>
    <row r="39" spans="5:21" ht="12.75" hidden="1" outlineLevel="1">
      <c r="E39" s="14" t="s">
        <v>261</v>
      </c>
      <c r="F39" s="14">
        <f>DATE(YEAR(F37)+F38,MONTH(F37),DAY(F37)-1)</f>
        <v>45747</v>
      </c>
      <c r="G39" s="14" t="s">
        <v>141</v>
      </c>
      <c r="H39" s="14"/>
      <c r="I39" s="14"/>
      <c r="J39" s="14"/>
      <c r="K39" s="14"/>
      <c r="L39" s="14"/>
      <c r="M39" s="14"/>
      <c r="N39" s="14"/>
      <c r="O39" s="14"/>
      <c r="P39" s="14"/>
      <c r="Q39" s="14"/>
      <c r="R39" s="14"/>
      <c r="S39" s="14"/>
      <c r="T39" s="14"/>
      <c r="U39" s="14"/>
    </row>
    <row r="40" spans="5:21" ht="12.75" hidden="1" outlineLevel="1">
      <c r="E40" s="4"/>
      <c r="F40" s="4"/>
      <c r="G40" s="4"/>
      <c r="H40" s="4"/>
      <c r="I40" s="4"/>
      <c r="J40" s="4"/>
      <c r="K40" s="4"/>
      <c r="L40" s="4"/>
      <c r="M40" s="4"/>
      <c r="N40" s="4"/>
      <c r="O40" s="4"/>
      <c r="P40" s="4"/>
      <c r="Q40" s="4"/>
      <c r="R40" s="4"/>
      <c r="S40" s="4"/>
      <c r="T40" s="4"/>
      <c r="U40" s="4"/>
    </row>
    <row r="41" spans="5:21" ht="12.75" hidden="1" outlineLevel="1">
      <c r="E41" s="29" t="str">
        <f>E$39</f>
        <v>Forecast end date</v>
      </c>
      <c r="F41" s="29">
        <f>F$39</f>
        <v>45747</v>
      </c>
      <c r="G41" s="29" t="str">
        <f>G$39</f>
        <v>date</v>
      </c>
      <c r="H41" s="29"/>
      <c r="I41" s="29"/>
      <c r="J41" s="29"/>
      <c r="K41" s="29"/>
      <c r="L41" s="29"/>
      <c r="M41" s="29"/>
      <c r="N41" s="29"/>
      <c r="O41" s="29"/>
      <c r="P41" s="29"/>
      <c r="Q41" s="29"/>
      <c r="R41" s="29"/>
      <c r="S41" s="29"/>
      <c r="T41" s="29"/>
      <c r="U41" s="29"/>
    </row>
    <row r="42" spans="5:21" ht="12.75" hidden="1" outlineLevel="1">
      <c r="E42" s="12" t="str">
        <f aca="true" t="shared" si="10" ref="E42:U42">E$20</f>
        <v>Model period beginning</v>
      </c>
      <c r="F42" s="12">
        <f t="shared" si="10"/>
        <v>0</v>
      </c>
      <c r="G42" s="12" t="str">
        <f t="shared" si="10"/>
        <v>date</v>
      </c>
      <c r="H42" s="12">
        <f t="shared" si="10"/>
        <v>0</v>
      </c>
      <c r="I42" s="12">
        <f t="shared" si="10"/>
        <v>0</v>
      </c>
      <c r="J42" s="12">
        <f t="shared" si="10"/>
        <v>41000</v>
      </c>
      <c r="K42" s="12">
        <f t="shared" si="10"/>
        <v>41365</v>
      </c>
      <c r="L42" s="12">
        <f t="shared" si="10"/>
        <v>41730</v>
      </c>
      <c r="M42" s="12">
        <f t="shared" si="10"/>
        <v>42095</v>
      </c>
      <c r="N42" s="12">
        <f t="shared" si="10"/>
        <v>42461</v>
      </c>
      <c r="O42" s="12">
        <f t="shared" si="10"/>
        <v>42826</v>
      </c>
      <c r="P42" s="12">
        <f t="shared" si="10"/>
        <v>43191</v>
      </c>
      <c r="Q42" s="12">
        <f t="shared" si="10"/>
        <v>43556</v>
      </c>
      <c r="R42" s="12">
        <f t="shared" si="10"/>
        <v>43922</v>
      </c>
      <c r="S42" s="12">
        <f t="shared" si="10"/>
        <v>44287</v>
      </c>
      <c r="T42" s="12">
        <f t="shared" si="10"/>
        <v>44652</v>
      </c>
      <c r="U42" s="12">
        <f t="shared" si="10"/>
        <v>45017</v>
      </c>
    </row>
    <row r="43" spans="5:21" ht="12.75" hidden="1" outlineLevel="1">
      <c r="E43" s="12" t="str">
        <f aca="true" t="shared" si="11" ref="E43:U43">E$25</f>
        <v>Model period ending</v>
      </c>
      <c r="F43" s="12">
        <f t="shared" si="11"/>
        <v>0</v>
      </c>
      <c r="G43" s="12" t="str">
        <f t="shared" si="11"/>
        <v>date</v>
      </c>
      <c r="H43" s="12">
        <f t="shared" si="11"/>
        <v>0</v>
      </c>
      <c r="I43" s="12">
        <f t="shared" si="11"/>
        <v>0</v>
      </c>
      <c r="J43" s="12">
        <f t="shared" si="11"/>
        <v>41364</v>
      </c>
      <c r="K43" s="12">
        <f t="shared" si="11"/>
        <v>41729</v>
      </c>
      <c r="L43" s="12">
        <f t="shared" si="11"/>
        <v>42094</v>
      </c>
      <c r="M43" s="12">
        <f t="shared" si="11"/>
        <v>42460</v>
      </c>
      <c r="N43" s="12">
        <f t="shared" si="11"/>
        <v>42825</v>
      </c>
      <c r="O43" s="12">
        <f t="shared" si="11"/>
        <v>43190</v>
      </c>
      <c r="P43" s="12">
        <f t="shared" si="11"/>
        <v>43555</v>
      </c>
      <c r="Q43" s="12">
        <f t="shared" si="11"/>
        <v>43921</v>
      </c>
      <c r="R43" s="12">
        <f t="shared" si="11"/>
        <v>44286</v>
      </c>
      <c r="S43" s="12">
        <f t="shared" si="11"/>
        <v>44651</v>
      </c>
      <c r="T43" s="12">
        <f t="shared" si="11"/>
        <v>45016</v>
      </c>
      <c r="U43" s="12">
        <f t="shared" si="11"/>
        <v>45382</v>
      </c>
    </row>
    <row r="44" spans="1:21" s="149" customFormat="1" ht="12.75" hidden="1" outlineLevel="1">
      <c r="A44" s="163"/>
      <c r="B44" s="163"/>
      <c r="C44" s="164"/>
      <c r="D44" s="165"/>
      <c r="E44" s="165" t="s">
        <v>260</v>
      </c>
      <c r="F44" s="165"/>
      <c r="G44" s="165" t="s">
        <v>255</v>
      </c>
      <c r="H44" s="165">
        <f>SUM(J44:U44)</f>
        <v>0</v>
      </c>
      <c r="I44" s="165"/>
      <c r="J44" s="165">
        <f aca="true" t="shared" si="12" ref="J44:U44">IF(AND($F41&gt;=J42,$F41&lt;=J43),1,0)</f>
        <v>0</v>
      </c>
      <c r="K44" s="165">
        <f t="shared" si="12"/>
        <v>0</v>
      </c>
      <c r="L44" s="165">
        <f t="shared" si="12"/>
        <v>0</v>
      </c>
      <c r="M44" s="165">
        <f t="shared" si="12"/>
        <v>0</v>
      </c>
      <c r="N44" s="165">
        <f t="shared" si="12"/>
        <v>0</v>
      </c>
      <c r="O44" s="165">
        <f t="shared" si="12"/>
        <v>0</v>
      </c>
      <c r="P44" s="165">
        <f t="shared" si="12"/>
        <v>0</v>
      </c>
      <c r="Q44" s="165">
        <f t="shared" si="12"/>
        <v>0</v>
      </c>
      <c r="R44" s="165">
        <f t="shared" si="12"/>
        <v>0</v>
      </c>
      <c r="S44" s="165">
        <f t="shared" si="12"/>
        <v>0</v>
      </c>
      <c r="T44" s="165">
        <f t="shared" si="12"/>
        <v>0</v>
      </c>
      <c r="U44" s="165">
        <f t="shared" si="12"/>
        <v>0</v>
      </c>
    </row>
    <row r="45" spans="5:21" ht="12.75" hidden="1" outlineLevel="1">
      <c r="E45" s="4"/>
      <c r="F45" s="4"/>
      <c r="G45" s="4"/>
      <c r="H45" s="4"/>
      <c r="I45" s="4"/>
      <c r="J45" s="4"/>
      <c r="K45" s="4"/>
      <c r="L45" s="4"/>
      <c r="M45" s="4"/>
      <c r="N45" s="4"/>
      <c r="O45" s="4"/>
      <c r="P45" s="4"/>
      <c r="Q45" s="4"/>
      <c r="R45" s="4"/>
      <c r="S45" s="4"/>
      <c r="T45" s="4"/>
      <c r="U45" s="4"/>
    </row>
    <row r="46" spans="2:21" ht="12.75" hidden="1" outlineLevel="1">
      <c r="B46" s="35" t="s">
        <v>262</v>
      </c>
      <c r="E46" s="4"/>
      <c r="F46" s="4"/>
      <c r="G46" s="4"/>
      <c r="H46" s="4"/>
      <c r="I46" s="4"/>
      <c r="J46" s="4"/>
      <c r="K46" s="4"/>
      <c r="L46" s="4"/>
      <c r="M46" s="4"/>
      <c r="N46" s="4"/>
      <c r="O46" s="4"/>
      <c r="P46" s="4"/>
      <c r="Q46" s="4"/>
      <c r="R46" s="4"/>
      <c r="S46" s="4"/>
      <c r="T46" s="4"/>
      <c r="U46" s="4"/>
    </row>
    <row r="47" spans="5:21" ht="12.75" hidden="1" outlineLevel="1">
      <c r="E47" s="4" t="str">
        <f>E$34</f>
        <v>Forecast start period flag</v>
      </c>
      <c r="F47" s="4">
        <f aca="true" t="shared" si="13" ref="F47:U47">F$34</f>
        <v>0</v>
      </c>
      <c r="G47" s="4" t="str">
        <f t="shared" si="13"/>
        <v>flag</v>
      </c>
      <c r="H47" s="4">
        <f t="shared" si="13"/>
        <v>1</v>
      </c>
      <c r="I47" s="4">
        <f t="shared" si="13"/>
        <v>0</v>
      </c>
      <c r="J47" s="4">
        <f t="shared" si="13"/>
        <v>0</v>
      </c>
      <c r="K47" s="4">
        <f t="shared" si="13"/>
        <v>0</v>
      </c>
      <c r="L47" s="4">
        <f t="shared" si="13"/>
        <v>0</v>
      </c>
      <c r="M47" s="4">
        <f t="shared" si="13"/>
        <v>0</v>
      </c>
      <c r="N47" s="4">
        <f t="shared" si="13"/>
        <v>0</v>
      </c>
      <c r="O47" s="4">
        <f t="shared" si="13"/>
        <v>0</v>
      </c>
      <c r="P47" s="4">
        <f t="shared" si="13"/>
        <v>0</v>
      </c>
      <c r="Q47" s="4">
        <f t="shared" si="13"/>
        <v>0</v>
      </c>
      <c r="R47" s="4">
        <f t="shared" si="13"/>
        <v>1</v>
      </c>
      <c r="S47" s="4">
        <f t="shared" si="13"/>
        <v>0</v>
      </c>
      <c r="T47" s="4">
        <f t="shared" si="13"/>
        <v>0</v>
      </c>
      <c r="U47" s="4">
        <f t="shared" si="13"/>
        <v>0</v>
      </c>
    </row>
    <row r="48" spans="5:21" ht="12.75" hidden="1" outlineLevel="1">
      <c r="E48" s="4" t="str">
        <f>E$44</f>
        <v>Forecast end period flag</v>
      </c>
      <c r="F48" s="4">
        <f aca="true" t="shared" si="14" ref="F48:U48">F$44</f>
        <v>0</v>
      </c>
      <c r="G48" s="4" t="str">
        <f t="shared" si="14"/>
        <v>flag</v>
      </c>
      <c r="H48" s="4">
        <f t="shared" si="14"/>
        <v>0</v>
      </c>
      <c r="I48" s="4">
        <f t="shared" si="14"/>
        <v>0</v>
      </c>
      <c r="J48" s="4">
        <f t="shared" si="14"/>
        <v>0</v>
      </c>
      <c r="K48" s="4">
        <f t="shared" si="14"/>
        <v>0</v>
      </c>
      <c r="L48" s="4">
        <f t="shared" si="14"/>
        <v>0</v>
      </c>
      <c r="M48" s="4">
        <f t="shared" si="14"/>
        <v>0</v>
      </c>
      <c r="N48" s="4">
        <f t="shared" si="14"/>
        <v>0</v>
      </c>
      <c r="O48" s="4">
        <f t="shared" si="14"/>
        <v>0</v>
      </c>
      <c r="P48" s="4">
        <f t="shared" si="14"/>
        <v>0</v>
      </c>
      <c r="Q48" s="4">
        <f t="shared" si="14"/>
        <v>0</v>
      </c>
      <c r="R48" s="4">
        <f t="shared" si="14"/>
        <v>0</v>
      </c>
      <c r="S48" s="4">
        <f t="shared" si="14"/>
        <v>0</v>
      </c>
      <c r="T48" s="4">
        <f t="shared" si="14"/>
        <v>0</v>
      </c>
      <c r="U48" s="4">
        <f t="shared" si="14"/>
        <v>0</v>
      </c>
    </row>
    <row r="49" spans="1:21" s="149" customFormat="1" ht="12.75" hidden="1" outlineLevel="1">
      <c r="A49" s="163"/>
      <c r="B49" s="163"/>
      <c r="C49" s="164"/>
      <c r="D49" s="165"/>
      <c r="E49" s="165" t="s">
        <v>262</v>
      </c>
      <c r="F49" s="165"/>
      <c r="G49" s="165" t="s">
        <v>255</v>
      </c>
      <c r="H49" s="165">
        <f>SUM(J49:U49)</f>
        <v>4</v>
      </c>
      <c r="I49" s="200"/>
      <c r="J49" s="165">
        <f>J47+I49-I48</f>
        <v>0</v>
      </c>
      <c r="K49" s="165">
        <f aca="true" t="shared" si="15" ref="K49:R49">K47+J49-J48</f>
        <v>0</v>
      </c>
      <c r="L49" s="165">
        <f t="shared" si="15"/>
        <v>0</v>
      </c>
      <c r="M49" s="165">
        <f t="shared" si="15"/>
        <v>0</v>
      </c>
      <c r="N49" s="165">
        <f t="shared" si="15"/>
        <v>0</v>
      </c>
      <c r="O49" s="165">
        <f t="shared" si="15"/>
        <v>0</v>
      </c>
      <c r="P49" s="165">
        <f t="shared" si="15"/>
        <v>0</v>
      </c>
      <c r="Q49" s="165">
        <f t="shared" si="15"/>
        <v>0</v>
      </c>
      <c r="R49" s="165">
        <f t="shared" si="15"/>
        <v>1</v>
      </c>
      <c r="S49" s="165">
        <f>S47+R49-R48</f>
        <v>1</v>
      </c>
      <c r="T49" s="165">
        <f>T47+S49-S48</f>
        <v>1</v>
      </c>
      <c r="U49" s="165">
        <f>U47+T49-T48</f>
        <v>1</v>
      </c>
    </row>
    <row r="50" spans="1:21" s="149" customFormat="1" ht="12.75" hidden="1" outlineLevel="1">
      <c r="A50" s="163"/>
      <c r="B50" s="163"/>
      <c r="C50" s="164"/>
      <c r="D50" s="165"/>
      <c r="E50" s="165" t="s">
        <v>263</v>
      </c>
      <c r="F50" s="165">
        <f>SUM(J49:U49)</f>
        <v>4</v>
      </c>
      <c r="G50" s="165" t="s">
        <v>264</v>
      </c>
      <c r="H50" s="165"/>
      <c r="I50" s="165"/>
      <c r="J50" s="165"/>
      <c r="K50" s="165"/>
      <c r="L50" s="165"/>
      <c r="M50" s="165"/>
      <c r="N50" s="165"/>
      <c r="O50" s="165"/>
      <c r="P50" s="165"/>
      <c r="Q50" s="165"/>
      <c r="R50" s="165"/>
      <c r="S50" s="165"/>
      <c r="T50" s="165"/>
      <c r="U50" s="165"/>
    </row>
    <row r="51" spans="5:21" ht="12.75" hidden="1" outlineLevel="1">
      <c r="E51" s="4"/>
      <c r="F51" s="4"/>
      <c r="G51" s="4"/>
      <c r="H51" s="4"/>
      <c r="I51" s="4"/>
      <c r="J51" s="4"/>
      <c r="K51" s="4"/>
      <c r="L51" s="4"/>
      <c r="M51" s="4"/>
      <c r="N51" s="4"/>
      <c r="O51" s="4"/>
      <c r="P51" s="4"/>
      <c r="Q51" s="4"/>
      <c r="R51" s="4"/>
      <c r="S51" s="4"/>
      <c r="T51" s="4"/>
      <c r="U51" s="4"/>
    </row>
    <row r="52" spans="2:21" ht="12.75" hidden="1" outlineLevel="1">
      <c r="B52" s="35" t="s">
        <v>265</v>
      </c>
      <c r="E52" s="4"/>
      <c r="F52" s="4"/>
      <c r="G52" s="4"/>
      <c r="H52" s="4"/>
      <c r="I52" s="4"/>
      <c r="J52" s="4"/>
      <c r="K52" s="4"/>
      <c r="L52" s="4"/>
      <c r="M52" s="4"/>
      <c r="N52" s="4"/>
      <c r="O52" s="4"/>
      <c r="P52" s="4"/>
      <c r="Q52" s="4"/>
      <c r="R52" s="4"/>
      <c r="S52" s="4"/>
      <c r="T52" s="4"/>
      <c r="U52" s="4"/>
    </row>
    <row r="53" spans="5:21" ht="12.75" hidden="1" outlineLevel="1">
      <c r="E53" s="4" t="str">
        <f>E$14</f>
        <v>1st model column flag</v>
      </c>
      <c r="F53" s="4">
        <f aca="true" t="shared" si="16" ref="F53:U53">F$14</f>
        <v>0</v>
      </c>
      <c r="G53" s="4" t="str">
        <f t="shared" si="16"/>
        <v>flag</v>
      </c>
      <c r="H53" s="4">
        <f t="shared" si="16"/>
        <v>1</v>
      </c>
      <c r="I53" s="4">
        <f t="shared" si="16"/>
        <v>0</v>
      </c>
      <c r="J53" s="4">
        <f t="shared" si="16"/>
        <v>1</v>
      </c>
      <c r="K53" s="4">
        <f t="shared" si="16"/>
        <v>0</v>
      </c>
      <c r="L53" s="4">
        <f t="shared" si="16"/>
        <v>0</v>
      </c>
      <c r="M53" s="4">
        <f t="shared" si="16"/>
        <v>0</v>
      </c>
      <c r="N53" s="4">
        <f t="shared" si="16"/>
        <v>0</v>
      </c>
      <c r="O53" s="4">
        <f t="shared" si="16"/>
        <v>0</v>
      </c>
      <c r="P53" s="4">
        <f t="shared" si="16"/>
        <v>0</v>
      </c>
      <c r="Q53" s="4">
        <f t="shared" si="16"/>
        <v>0</v>
      </c>
      <c r="R53" s="4">
        <f t="shared" si="16"/>
        <v>0</v>
      </c>
      <c r="S53" s="4">
        <f t="shared" si="16"/>
        <v>0</v>
      </c>
      <c r="T53" s="4">
        <f t="shared" si="16"/>
        <v>0</v>
      </c>
      <c r="U53" s="4">
        <f t="shared" si="16"/>
        <v>0</v>
      </c>
    </row>
    <row r="54" spans="5:21" ht="12.75" hidden="1" outlineLevel="1">
      <c r="E54" s="4" t="str">
        <f>E$34</f>
        <v>Forecast start period flag</v>
      </c>
      <c r="F54" s="4">
        <f aca="true" t="shared" si="17" ref="F54:U54">F$34</f>
        <v>0</v>
      </c>
      <c r="G54" s="4" t="str">
        <f t="shared" si="17"/>
        <v>flag</v>
      </c>
      <c r="H54" s="4">
        <f t="shared" si="17"/>
        <v>1</v>
      </c>
      <c r="I54" s="4">
        <f t="shared" si="17"/>
        <v>0</v>
      </c>
      <c r="J54" s="4">
        <f t="shared" si="17"/>
        <v>0</v>
      </c>
      <c r="K54" s="4">
        <f t="shared" si="17"/>
        <v>0</v>
      </c>
      <c r="L54" s="4">
        <f t="shared" si="17"/>
        <v>0</v>
      </c>
      <c r="M54" s="4">
        <f t="shared" si="17"/>
        <v>0</v>
      </c>
      <c r="N54" s="4">
        <f t="shared" si="17"/>
        <v>0</v>
      </c>
      <c r="O54" s="4">
        <f t="shared" si="17"/>
        <v>0</v>
      </c>
      <c r="P54" s="4">
        <f t="shared" si="17"/>
        <v>0</v>
      </c>
      <c r="Q54" s="4">
        <f t="shared" si="17"/>
        <v>0</v>
      </c>
      <c r="R54" s="4">
        <f t="shared" si="17"/>
        <v>1</v>
      </c>
      <c r="S54" s="4">
        <f t="shared" si="17"/>
        <v>0</v>
      </c>
      <c r="T54" s="4">
        <f t="shared" si="17"/>
        <v>0</v>
      </c>
      <c r="U54" s="4">
        <f t="shared" si="17"/>
        <v>0</v>
      </c>
    </row>
    <row r="55" spans="5:21" ht="12.75" hidden="1" outlineLevel="1">
      <c r="E55" s="4" t="s">
        <v>265</v>
      </c>
      <c r="F55" s="4"/>
      <c r="G55" s="4" t="s">
        <v>255</v>
      </c>
      <c r="H55" s="4">
        <f>SUM(J55:U55)</f>
        <v>8</v>
      </c>
      <c r="I55" s="104"/>
      <c r="J55" s="4">
        <f>J53+I55-J54</f>
        <v>1</v>
      </c>
      <c r="K55" s="4">
        <f aca="true" t="shared" si="18" ref="K55:R55">K53+J55-K54</f>
        <v>1</v>
      </c>
      <c r="L55" s="4">
        <f t="shared" si="18"/>
        <v>1</v>
      </c>
      <c r="M55" s="4">
        <f t="shared" si="18"/>
        <v>1</v>
      </c>
      <c r="N55" s="4">
        <f t="shared" si="18"/>
        <v>1</v>
      </c>
      <c r="O55" s="4">
        <f t="shared" si="18"/>
        <v>1</v>
      </c>
      <c r="P55" s="4">
        <f t="shared" si="18"/>
        <v>1</v>
      </c>
      <c r="Q55" s="4">
        <f t="shared" si="18"/>
        <v>1</v>
      </c>
      <c r="R55" s="4">
        <f t="shared" si="18"/>
        <v>0</v>
      </c>
      <c r="S55" s="4">
        <f>S53+R55-S54</f>
        <v>0</v>
      </c>
      <c r="T55" s="4">
        <f>T53+S55-T54</f>
        <v>0</v>
      </c>
      <c r="U55" s="4">
        <f>U53+T55-U54</f>
        <v>0</v>
      </c>
    </row>
    <row r="56" spans="5:21" ht="12.75" hidden="1" outlineLevel="1">
      <c r="E56" s="4" t="s">
        <v>266</v>
      </c>
      <c r="F56" s="4">
        <f>SUM(J55:U55)</f>
        <v>8</v>
      </c>
      <c r="G56" s="4" t="s">
        <v>264</v>
      </c>
      <c r="H56" s="4"/>
      <c r="I56" s="4"/>
      <c r="J56" s="4"/>
      <c r="K56" s="4"/>
      <c r="L56" s="4"/>
      <c r="M56" s="4"/>
      <c r="N56" s="4"/>
      <c r="O56" s="4"/>
      <c r="P56" s="4"/>
      <c r="Q56" s="4"/>
      <c r="R56" s="4"/>
      <c r="S56" s="4"/>
      <c r="T56" s="4"/>
      <c r="U56" s="4"/>
    </row>
    <row r="57" spans="5:21" ht="12.75" hidden="1" outlineLevel="1">
      <c r="E57" s="4"/>
      <c r="F57" s="4"/>
      <c r="G57" s="4"/>
      <c r="H57" s="4"/>
      <c r="I57" s="4"/>
      <c r="J57" s="4"/>
      <c r="K57" s="4"/>
      <c r="L57" s="4"/>
      <c r="M57" s="4"/>
      <c r="N57" s="4"/>
      <c r="O57" s="4"/>
      <c r="P57" s="4"/>
      <c r="Q57" s="4"/>
      <c r="R57" s="4"/>
      <c r="S57" s="4"/>
      <c r="T57" s="4"/>
      <c r="U57" s="4"/>
    </row>
    <row r="58" spans="2:21" ht="12.75" hidden="1" outlineLevel="1">
      <c r="B58" s="35" t="s">
        <v>267</v>
      </c>
      <c r="E58" s="4"/>
      <c r="F58" s="4"/>
      <c r="G58" s="4"/>
      <c r="H58" s="4"/>
      <c r="I58" s="4"/>
      <c r="J58" s="4"/>
      <c r="K58" s="4"/>
      <c r="L58" s="4"/>
      <c r="M58" s="4"/>
      <c r="N58" s="4"/>
      <c r="O58" s="4"/>
      <c r="P58" s="4"/>
      <c r="Q58" s="4"/>
      <c r="R58" s="4"/>
      <c r="S58" s="4"/>
      <c r="T58" s="4"/>
      <c r="U58" s="4"/>
    </row>
    <row r="59" spans="5:21" ht="12.75" hidden="1" outlineLevel="1">
      <c r="E59" s="4" t="str">
        <f>E$44</f>
        <v>Forecast end period flag</v>
      </c>
      <c r="F59" s="4">
        <f aca="true" t="shared" si="19" ref="F59:U59">F$44</f>
        <v>0</v>
      </c>
      <c r="G59" s="4" t="str">
        <f t="shared" si="19"/>
        <v>flag</v>
      </c>
      <c r="H59" s="4">
        <f t="shared" si="19"/>
        <v>0</v>
      </c>
      <c r="I59" s="104">
        <f t="shared" si="19"/>
        <v>0</v>
      </c>
      <c r="J59" s="4">
        <f t="shared" si="19"/>
        <v>0</v>
      </c>
      <c r="K59" s="4">
        <f t="shared" si="19"/>
        <v>0</v>
      </c>
      <c r="L59" s="4">
        <f t="shared" si="19"/>
        <v>0</v>
      </c>
      <c r="M59" s="4">
        <f t="shared" si="19"/>
        <v>0</v>
      </c>
      <c r="N59" s="4">
        <f t="shared" si="19"/>
        <v>0</v>
      </c>
      <c r="O59" s="4">
        <f t="shared" si="19"/>
        <v>0</v>
      </c>
      <c r="P59" s="4">
        <f t="shared" si="19"/>
        <v>0</v>
      </c>
      <c r="Q59" s="4">
        <f t="shared" si="19"/>
        <v>0</v>
      </c>
      <c r="R59" s="4">
        <f t="shared" si="19"/>
        <v>0</v>
      </c>
      <c r="S59" s="4">
        <f t="shared" si="19"/>
        <v>0</v>
      </c>
      <c r="T59" s="4">
        <f t="shared" si="19"/>
        <v>0</v>
      </c>
      <c r="U59" s="4">
        <f t="shared" si="19"/>
        <v>0</v>
      </c>
    </row>
    <row r="60" spans="1:21" s="149" customFormat="1" ht="12.75" hidden="1" outlineLevel="1">
      <c r="A60" s="163"/>
      <c r="B60" s="163"/>
      <c r="C60" s="164"/>
      <c r="D60" s="165"/>
      <c r="E60" s="165" t="s">
        <v>267</v>
      </c>
      <c r="F60" s="165"/>
      <c r="G60" s="165" t="s">
        <v>255</v>
      </c>
      <c r="H60" s="165">
        <f>SUM(J60:U60)</f>
        <v>0</v>
      </c>
      <c r="I60" s="165"/>
      <c r="J60" s="165">
        <f>I59</f>
        <v>0</v>
      </c>
      <c r="K60" s="165">
        <f aca="true" t="shared" si="20" ref="K60:R60">J59</f>
        <v>0</v>
      </c>
      <c r="L60" s="165">
        <f t="shared" si="20"/>
        <v>0</v>
      </c>
      <c r="M60" s="165">
        <f t="shared" si="20"/>
        <v>0</v>
      </c>
      <c r="N60" s="165">
        <f t="shared" si="20"/>
        <v>0</v>
      </c>
      <c r="O60" s="165">
        <f t="shared" si="20"/>
        <v>0</v>
      </c>
      <c r="P60" s="165">
        <f t="shared" si="20"/>
        <v>0</v>
      </c>
      <c r="Q60" s="165">
        <f t="shared" si="20"/>
        <v>0</v>
      </c>
      <c r="R60" s="165">
        <f t="shared" si="20"/>
        <v>0</v>
      </c>
      <c r="S60" s="165">
        <f>R59</f>
        <v>0</v>
      </c>
      <c r="T60" s="165">
        <f>S59</f>
        <v>0</v>
      </c>
      <c r="U60" s="165">
        <f>T59</f>
        <v>0</v>
      </c>
    </row>
    <row r="61" spans="5:21" ht="12.75" hidden="1" outlineLevel="1">
      <c r="E61" s="4"/>
      <c r="F61" s="4"/>
      <c r="G61" s="4"/>
      <c r="H61" s="4"/>
      <c r="I61" s="4"/>
      <c r="J61" s="4"/>
      <c r="K61" s="4"/>
      <c r="L61" s="4"/>
      <c r="M61" s="4"/>
      <c r="N61" s="4"/>
      <c r="O61" s="4"/>
      <c r="P61" s="4"/>
      <c r="Q61" s="4"/>
      <c r="R61" s="4"/>
      <c r="S61" s="4"/>
      <c r="T61" s="4"/>
      <c r="U61" s="4"/>
    </row>
    <row r="62" spans="2:21" ht="12.75" hidden="1" outlineLevel="1">
      <c r="B62" s="35" t="s">
        <v>268</v>
      </c>
      <c r="E62" s="4"/>
      <c r="F62" s="4"/>
      <c r="G62" s="4"/>
      <c r="H62" s="4"/>
      <c r="I62" s="4"/>
      <c r="J62" s="4"/>
      <c r="K62" s="4"/>
      <c r="L62" s="4"/>
      <c r="M62" s="4"/>
      <c r="N62" s="4"/>
      <c r="O62" s="4"/>
      <c r="P62" s="4"/>
      <c r="Q62" s="4"/>
      <c r="R62" s="4"/>
      <c r="S62" s="4"/>
      <c r="T62" s="4"/>
      <c r="U62" s="4"/>
    </row>
    <row r="63" spans="5:21" ht="12.75" hidden="1" outlineLevel="1">
      <c r="E63" s="4" t="str">
        <f aca="true" t="shared" si="21" ref="E63:U63">E$60</f>
        <v>First post-forecast period flag</v>
      </c>
      <c r="F63" s="4">
        <f t="shared" si="21"/>
        <v>0</v>
      </c>
      <c r="G63" s="4" t="str">
        <f t="shared" si="21"/>
        <v>flag</v>
      </c>
      <c r="H63" s="4">
        <f t="shared" si="21"/>
        <v>0</v>
      </c>
      <c r="I63" s="4">
        <f t="shared" si="21"/>
        <v>0</v>
      </c>
      <c r="J63" s="4">
        <f t="shared" si="21"/>
        <v>0</v>
      </c>
      <c r="K63" s="4">
        <f t="shared" si="21"/>
        <v>0</v>
      </c>
      <c r="L63" s="4">
        <f t="shared" si="21"/>
        <v>0</v>
      </c>
      <c r="M63" s="4">
        <f t="shared" si="21"/>
        <v>0</v>
      </c>
      <c r="N63" s="4">
        <f t="shared" si="21"/>
        <v>0</v>
      </c>
      <c r="O63" s="4">
        <f t="shared" si="21"/>
        <v>0</v>
      </c>
      <c r="P63" s="4">
        <f t="shared" si="21"/>
        <v>0</v>
      </c>
      <c r="Q63" s="4">
        <f t="shared" si="21"/>
        <v>0</v>
      </c>
      <c r="R63" s="4">
        <f t="shared" si="21"/>
        <v>0</v>
      </c>
      <c r="S63" s="4">
        <f t="shared" si="21"/>
        <v>0</v>
      </c>
      <c r="T63" s="4">
        <f t="shared" si="21"/>
        <v>0</v>
      </c>
      <c r="U63" s="4">
        <f t="shared" si="21"/>
        <v>0</v>
      </c>
    </row>
    <row r="64" spans="5:21" ht="12.75" hidden="1" outlineLevel="1">
      <c r="E64" s="4" t="s">
        <v>268</v>
      </c>
      <c r="F64" s="4"/>
      <c r="G64" s="4" t="s">
        <v>255</v>
      </c>
      <c r="H64" s="4">
        <f>SUM(J64:U64)</f>
        <v>0</v>
      </c>
      <c r="I64" s="104"/>
      <c r="J64" s="4">
        <f>J63+I64</f>
        <v>0</v>
      </c>
      <c r="K64" s="4">
        <f aca="true" t="shared" si="22" ref="K64:R64">K63+J64</f>
        <v>0</v>
      </c>
      <c r="L64" s="4">
        <f t="shared" si="22"/>
        <v>0</v>
      </c>
      <c r="M64" s="4">
        <f t="shared" si="22"/>
        <v>0</v>
      </c>
      <c r="N64" s="4">
        <f t="shared" si="22"/>
        <v>0</v>
      </c>
      <c r="O64" s="4">
        <f t="shared" si="22"/>
        <v>0</v>
      </c>
      <c r="P64" s="4">
        <f t="shared" si="22"/>
        <v>0</v>
      </c>
      <c r="Q64" s="4">
        <f t="shared" si="22"/>
        <v>0</v>
      </c>
      <c r="R64" s="4">
        <f t="shared" si="22"/>
        <v>0</v>
      </c>
      <c r="S64" s="4">
        <f>S63+R64</f>
        <v>0</v>
      </c>
      <c r="T64" s="4">
        <f>T63+S64</f>
        <v>0</v>
      </c>
      <c r="U64" s="4">
        <f>U63+T64</f>
        <v>0</v>
      </c>
    </row>
    <row r="65" spans="5:21" ht="12.75" hidden="1" outlineLevel="1">
      <c r="E65" s="4" t="s">
        <v>269</v>
      </c>
      <c r="F65" s="4">
        <f>SUM(J64:U64)</f>
        <v>0</v>
      </c>
      <c r="G65" s="4" t="s">
        <v>264</v>
      </c>
      <c r="H65" s="4"/>
      <c r="I65" s="4"/>
      <c r="J65" s="4"/>
      <c r="K65" s="4"/>
      <c r="L65" s="4"/>
      <c r="M65" s="4"/>
      <c r="N65" s="4"/>
      <c r="O65" s="4"/>
      <c r="P65" s="4"/>
      <c r="Q65" s="4"/>
      <c r="R65" s="4"/>
      <c r="S65" s="4"/>
      <c r="T65" s="4"/>
      <c r="U65" s="4"/>
    </row>
    <row r="66" spans="5:21" ht="12.75">
      <c r="E66" s="4"/>
      <c r="F66" s="4"/>
      <c r="G66" s="4"/>
      <c r="H66" s="4"/>
      <c r="I66" s="4"/>
      <c r="J66" s="4"/>
      <c r="K66" s="4"/>
      <c r="L66" s="4"/>
      <c r="M66" s="4"/>
      <c r="N66" s="4"/>
      <c r="O66" s="4"/>
      <c r="P66" s="4"/>
      <c r="Q66" s="4"/>
      <c r="R66" s="4"/>
      <c r="S66" s="4"/>
      <c r="T66" s="4"/>
      <c r="U66" s="4"/>
    </row>
    <row r="67" spans="1:21" ht="12.75" customHeight="1" collapsed="1">
      <c r="A67" s="43" t="s">
        <v>270</v>
      </c>
      <c r="B67" s="43"/>
      <c r="C67" s="44"/>
      <c r="D67" s="43"/>
      <c r="E67" s="43"/>
      <c r="F67" s="43"/>
      <c r="G67" s="43"/>
      <c r="H67" s="43"/>
      <c r="I67" s="43"/>
      <c r="J67" s="43"/>
      <c r="K67" s="43"/>
      <c r="L67" s="43"/>
      <c r="M67" s="43"/>
      <c r="N67" s="43"/>
      <c r="O67" s="43"/>
      <c r="P67" s="43"/>
      <c r="Q67" s="43"/>
      <c r="R67" s="43"/>
      <c r="S67" s="43"/>
      <c r="T67" s="43"/>
      <c r="U67" s="43"/>
    </row>
    <row r="68" spans="5:21" ht="12.75" hidden="1" outlineLevel="1">
      <c r="E68" s="4"/>
      <c r="F68" s="4"/>
      <c r="G68" s="4"/>
      <c r="H68" s="4"/>
      <c r="I68" s="4"/>
      <c r="J68" s="4"/>
      <c r="K68" s="4"/>
      <c r="L68" s="4"/>
      <c r="M68" s="4"/>
      <c r="N68" s="4"/>
      <c r="O68" s="4"/>
      <c r="P68" s="4"/>
      <c r="Q68" s="4"/>
      <c r="R68" s="4"/>
      <c r="S68" s="4"/>
      <c r="T68" s="4"/>
      <c r="U68" s="4"/>
    </row>
    <row r="69" spans="5:21" ht="12.75" customHeight="1" hidden="1" outlineLevel="1">
      <c r="E69" s="4"/>
      <c r="F69" s="4"/>
      <c r="G69" s="4"/>
      <c r="H69" s="4"/>
      <c r="I69" s="4"/>
      <c r="J69" s="4"/>
      <c r="K69" s="4"/>
      <c r="L69" s="4"/>
      <c r="M69" s="4"/>
      <c r="N69" s="4"/>
      <c r="O69" s="4"/>
      <c r="P69" s="4"/>
      <c r="Q69" s="4"/>
      <c r="R69" s="4"/>
      <c r="S69" s="4"/>
      <c r="T69" s="4"/>
      <c r="U69" s="4"/>
    </row>
    <row r="70" spans="2:21" ht="12.75" hidden="1" outlineLevel="1">
      <c r="B70" s="35" t="s">
        <v>271</v>
      </c>
      <c r="E70" s="4"/>
      <c r="F70" s="10"/>
      <c r="G70" s="21"/>
      <c r="H70" s="21"/>
      <c r="I70" s="21"/>
      <c r="J70" s="21"/>
      <c r="K70" s="21"/>
      <c r="L70" s="21"/>
      <c r="M70" s="21"/>
      <c r="N70" s="21"/>
      <c r="O70" s="21"/>
      <c r="P70" s="21"/>
      <c r="Q70" s="21"/>
      <c r="R70" s="21"/>
      <c r="S70" s="21"/>
      <c r="T70" s="21"/>
      <c r="U70" s="21"/>
    </row>
    <row r="71" spans="5:21" ht="12.75" hidden="1" outlineLevel="1">
      <c r="E71" s="4" t="str">
        <f aca="true" t="shared" si="23" ref="E71:U71">E$14</f>
        <v>1st model column flag</v>
      </c>
      <c r="F71" s="4">
        <f t="shared" si="23"/>
        <v>0</v>
      </c>
      <c r="G71" s="4" t="str">
        <f t="shared" si="23"/>
        <v>flag</v>
      </c>
      <c r="H71" s="4">
        <f t="shared" si="23"/>
        <v>1</v>
      </c>
      <c r="I71" s="4">
        <f t="shared" si="23"/>
        <v>0</v>
      </c>
      <c r="J71" s="4">
        <f t="shared" si="23"/>
        <v>1</v>
      </c>
      <c r="K71" s="4">
        <f t="shared" si="23"/>
        <v>0</v>
      </c>
      <c r="L71" s="4">
        <f t="shared" si="23"/>
        <v>0</v>
      </c>
      <c r="M71" s="4">
        <f t="shared" si="23"/>
        <v>0</v>
      </c>
      <c r="N71" s="4">
        <f t="shared" si="23"/>
        <v>0</v>
      </c>
      <c r="O71" s="4">
        <f t="shared" si="23"/>
        <v>0</v>
      </c>
      <c r="P71" s="4">
        <f t="shared" si="23"/>
        <v>0</v>
      </c>
      <c r="Q71" s="4">
        <f t="shared" si="23"/>
        <v>0</v>
      </c>
      <c r="R71" s="4">
        <f t="shared" si="23"/>
        <v>0</v>
      </c>
      <c r="S71" s="4">
        <f t="shared" si="23"/>
        <v>0</v>
      </c>
      <c r="T71" s="4">
        <f t="shared" si="23"/>
        <v>0</v>
      </c>
      <c r="U71" s="4">
        <f t="shared" si="23"/>
        <v>0</v>
      </c>
    </row>
    <row r="72" spans="5:21" ht="12.75" hidden="1" outlineLevel="1">
      <c r="E72" s="4" t="str">
        <f>E$34</f>
        <v>Forecast start period flag</v>
      </c>
      <c r="F72" s="4">
        <f aca="true" t="shared" si="24" ref="F72:U72">F$34</f>
        <v>0</v>
      </c>
      <c r="G72" s="4" t="str">
        <f t="shared" si="24"/>
        <v>flag</v>
      </c>
      <c r="H72" s="4">
        <f t="shared" si="24"/>
        <v>1</v>
      </c>
      <c r="I72" s="4">
        <f t="shared" si="24"/>
        <v>0</v>
      </c>
      <c r="J72" s="4">
        <f t="shared" si="24"/>
        <v>0</v>
      </c>
      <c r="K72" s="4">
        <f t="shared" si="24"/>
        <v>0</v>
      </c>
      <c r="L72" s="4">
        <f t="shared" si="24"/>
        <v>0</v>
      </c>
      <c r="M72" s="4">
        <f t="shared" si="24"/>
        <v>0</v>
      </c>
      <c r="N72" s="4">
        <f t="shared" si="24"/>
        <v>0</v>
      </c>
      <c r="O72" s="4">
        <f t="shared" si="24"/>
        <v>0</v>
      </c>
      <c r="P72" s="4">
        <f t="shared" si="24"/>
        <v>0</v>
      </c>
      <c r="Q72" s="4">
        <f t="shared" si="24"/>
        <v>0</v>
      </c>
      <c r="R72" s="4">
        <f t="shared" si="24"/>
        <v>1</v>
      </c>
      <c r="S72" s="4">
        <f t="shared" si="24"/>
        <v>0</v>
      </c>
      <c r="T72" s="4">
        <f t="shared" si="24"/>
        <v>0</v>
      </c>
      <c r="U72" s="4">
        <f t="shared" si="24"/>
        <v>0</v>
      </c>
    </row>
    <row r="73" spans="5:21" ht="12.75" hidden="1" outlineLevel="1">
      <c r="E73" s="4" t="str">
        <f aca="true" t="shared" si="25" ref="E73:U73">E$60</f>
        <v>First post-forecast period flag</v>
      </c>
      <c r="F73" s="4">
        <f t="shared" si="25"/>
        <v>0</v>
      </c>
      <c r="G73" s="4" t="str">
        <f t="shared" si="25"/>
        <v>flag</v>
      </c>
      <c r="H73" s="4">
        <f t="shared" si="25"/>
        <v>0</v>
      </c>
      <c r="I73" s="4">
        <f t="shared" si="25"/>
        <v>0</v>
      </c>
      <c r="J73" s="4">
        <f t="shared" si="25"/>
        <v>0</v>
      </c>
      <c r="K73" s="4">
        <f t="shared" si="25"/>
        <v>0</v>
      </c>
      <c r="L73" s="4">
        <f t="shared" si="25"/>
        <v>0</v>
      </c>
      <c r="M73" s="4">
        <f t="shared" si="25"/>
        <v>0</v>
      </c>
      <c r="N73" s="4">
        <f t="shared" si="25"/>
        <v>0</v>
      </c>
      <c r="O73" s="4">
        <f t="shared" si="25"/>
        <v>0</v>
      </c>
      <c r="P73" s="4">
        <f t="shared" si="25"/>
        <v>0</v>
      </c>
      <c r="Q73" s="4">
        <f t="shared" si="25"/>
        <v>0</v>
      </c>
      <c r="R73" s="4">
        <f t="shared" si="25"/>
        <v>0</v>
      </c>
      <c r="S73" s="4">
        <f t="shared" si="25"/>
        <v>0</v>
      </c>
      <c r="T73" s="4">
        <f t="shared" si="25"/>
        <v>0</v>
      </c>
      <c r="U73" s="4">
        <f t="shared" si="25"/>
        <v>0</v>
      </c>
    </row>
    <row r="74" spans="5:21" ht="12.75" hidden="1" outlineLevel="1">
      <c r="E74" s="13" t="s">
        <v>272</v>
      </c>
      <c r="F74" s="13"/>
      <c r="G74" s="13" t="s">
        <v>251</v>
      </c>
      <c r="H74" s="13"/>
      <c r="I74" s="130"/>
      <c r="J74" s="13">
        <f aca="true" t="shared" si="26" ref="J74:R74">I74+SUM(J71:J73)</f>
        <v>1</v>
      </c>
      <c r="K74" s="13">
        <f t="shared" si="26"/>
        <v>1</v>
      </c>
      <c r="L74" s="13">
        <f t="shared" si="26"/>
        <v>1</v>
      </c>
      <c r="M74" s="13">
        <f t="shared" si="26"/>
        <v>1</v>
      </c>
      <c r="N74" s="13">
        <f t="shared" si="26"/>
        <v>1</v>
      </c>
      <c r="O74" s="13">
        <f t="shared" si="26"/>
        <v>1</v>
      </c>
      <c r="P74" s="13">
        <f t="shared" si="26"/>
        <v>1</v>
      </c>
      <c r="Q74" s="13">
        <f t="shared" si="26"/>
        <v>1</v>
      </c>
      <c r="R74" s="13">
        <f t="shared" si="26"/>
        <v>2</v>
      </c>
      <c r="S74" s="13">
        <f>R74+SUM(S71:S73)</f>
        <v>2</v>
      </c>
      <c r="T74" s="13">
        <f>S74+SUM(T71:T73)</f>
        <v>2</v>
      </c>
      <c r="U74" s="13">
        <f>T74+SUM(U71:U73)</f>
        <v>2</v>
      </c>
    </row>
    <row r="75" spans="5:21" ht="12.75" hidden="1" outlineLevel="1">
      <c r="E75" s="21"/>
      <c r="F75" s="21"/>
      <c r="G75" s="21"/>
      <c r="H75" s="21"/>
      <c r="I75" s="21"/>
      <c r="J75" s="21"/>
      <c r="K75" s="21"/>
      <c r="L75" s="21"/>
      <c r="M75" s="21"/>
      <c r="N75" s="21"/>
      <c r="O75" s="21"/>
      <c r="P75" s="21"/>
      <c r="Q75" s="21"/>
      <c r="R75" s="21"/>
      <c r="S75" s="21"/>
      <c r="T75" s="21"/>
      <c r="U75" s="21"/>
    </row>
    <row r="76" spans="5:21" ht="12.75" hidden="1" outlineLevel="1">
      <c r="E76" s="9" t="str">
        <f>Inputs!E$20</f>
        <v>Pre - forecast period</v>
      </c>
      <c r="F76" s="9" t="str">
        <f>Inputs!F$20</f>
        <v>Pre-Fcst</v>
      </c>
      <c r="G76" s="9" t="str">
        <f>Inputs!G$20</f>
        <v>label</v>
      </c>
      <c r="H76" s="9"/>
      <c r="I76" s="9"/>
      <c r="J76" s="9"/>
      <c r="K76" s="9"/>
      <c r="L76" s="9"/>
      <c r="M76" s="9"/>
      <c r="N76" s="9"/>
      <c r="O76" s="9"/>
      <c r="P76" s="9"/>
      <c r="Q76" s="9"/>
      <c r="R76" s="9"/>
      <c r="S76" s="9"/>
      <c r="T76" s="9"/>
      <c r="U76" s="9"/>
    </row>
    <row r="77" spans="5:21" ht="12.75" hidden="1" outlineLevel="1">
      <c r="E77" s="9" t="str">
        <f>Inputs!E$21</f>
        <v>Forecast period</v>
      </c>
      <c r="F77" s="9" t="str">
        <f>Inputs!F$21</f>
        <v>Forecast</v>
      </c>
      <c r="G77" s="9" t="str">
        <f>Inputs!G$21</f>
        <v>label</v>
      </c>
      <c r="H77" s="9"/>
      <c r="I77" s="9"/>
      <c r="J77" s="9"/>
      <c r="K77" s="9"/>
      <c r="L77" s="9"/>
      <c r="M77" s="9"/>
      <c r="N77" s="9"/>
      <c r="O77" s="9"/>
      <c r="P77" s="9"/>
      <c r="Q77" s="9"/>
      <c r="R77" s="9"/>
      <c r="S77" s="9"/>
      <c r="T77" s="9"/>
      <c r="U77" s="9"/>
    </row>
    <row r="78" spans="5:21" ht="12.75" hidden="1" outlineLevel="1">
      <c r="E78" s="9" t="str">
        <f>Inputs!E$22</f>
        <v>Post - forecast period</v>
      </c>
      <c r="F78" s="9" t="str">
        <f>Inputs!F$22</f>
        <v>Post-Fcst</v>
      </c>
      <c r="G78" s="9" t="str">
        <f>Inputs!G$22</f>
        <v>label</v>
      </c>
      <c r="H78" s="9"/>
      <c r="I78" s="9"/>
      <c r="J78" s="9"/>
      <c r="K78" s="9"/>
      <c r="L78" s="9"/>
      <c r="M78" s="9"/>
      <c r="N78" s="9"/>
      <c r="O78" s="9"/>
      <c r="P78" s="9"/>
      <c r="Q78" s="9"/>
      <c r="R78" s="9"/>
      <c r="S78" s="9"/>
      <c r="T78" s="9"/>
      <c r="U78" s="9"/>
    </row>
    <row r="79" spans="5:21" ht="12.75" hidden="1" outlineLevel="1">
      <c r="E79" s="13" t="str">
        <f aca="true" t="shared" si="27" ref="E79:U79">E$74</f>
        <v>Timeline label counter</v>
      </c>
      <c r="F79" s="13">
        <f t="shared" si="27"/>
        <v>0</v>
      </c>
      <c r="G79" s="13" t="str">
        <f t="shared" si="27"/>
        <v>counter</v>
      </c>
      <c r="H79" s="13">
        <f t="shared" si="27"/>
        <v>0</v>
      </c>
      <c r="I79" s="13">
        <f t="shared" si="27"/>
        <v>0</v>
      </c>
      <c r="J79" s="13">
        <f t="shared" si="27"/>
        <v>1</v>
      </c>
      <c r="K79" s="13">
        <f t="shared" si="27"/>
        <v>1</v>
      </c>
      <c r="L79" s="13">
        <f t="shared" si="27"/>
        <v>1</v>
      </c>
      <c r="M79" s="13">
        <f t="shared" si="27"/>
        <v>1</v>
      </c>
      <c r="N79" s="13">
        <f t="shared" si="27"/>
        <v>1</v>
      </c>
      <c r="O79" s="13">
        <f t="shared" si="27"/>
        <v>1</v>
      </c>
      <c r="P79" s="13">
        <f t="shared" si="27"/>
        <v>1</v>
      </c>
      <c r="Q79" s="13">
        <f t="shared" si="27"/>
        <v>1</v>
      </c>
      <c r="R79" s="13">
        <f t="shared" si="27"/>
        <v>2</v>
      </c>
      <c r="S79" s="13">
        <f t="shared" si="27"/>
        <v>2</v>
      </c>
      <c r="T79" s="13">
        <f t="shared" si="27"/>
        <v>2</v>
      </c>
      <c r="U79" s="13">
        <f t="shared" si="27"/>
        <v>2</v>
      </c>
    </row>
    <row r="80" spans="5:21" ht="12.75" hidden="1" outlineLevel="1">
      <c r="E80" s="4" t="s">
        <v>271</v>
      </c>
      <c r="F80" s="4"/>
      <c r="G80" s="4" t="s">
        <v>153</v>
      </c>
      <c r="H80" s="4"/>
      <c r="I80" s="4"/>
      <c r="J80" s="20" t="str">
        <f aca="true" t="shared" si="28" ref="J80:R80">INDEX($F76:$F78,J79)</f>
        <v>Pre-Fcst</v>
      </c>
      <c r="K80" s="20" t="str">
        <f t="shared" si="28"/>
        <v>Pre-Fcst</v>
      </c>
      <c r="L80" s="20" t="str">
        <f t="shared" si="28"/>
        <v>Pre-Fcst</v>
      </c>
      <c r="M80" s="20" t="str">
        <f t="shared" si="28"/>
        <v>Pre-Fcst</v>
      </c>
      <c r="N80" s="20" t="str">
        <f t="shared" si="28"/>
        <v>Pre-Fcst</v>
      </c>
      <c r="O80" s="20" t="str">
        <f t="shared" si="28"/>
        <v>Pre-Fcst</v>
      </c>
      <c r="P80" s="20" t="str">
        <f t="shared" si="28"/>
        <v>Pre-Fcst</v>
      </c>
      <c r="Q80" s="20" t="str">
        <f t="shared" si="28"/>
        <v>Pre-Fcst</v>
      </c>
      <c r="R80" s="20" t="str">
        <f t="shared" si="28"/>
        <v>Forecast</v>
      </c>
      <c r="S80" s="20" t="str">
        <f>INDEX($F76:$F78,S79)</f>
        <v>Forecast</v>
      </c>
      <c r="T80" s="20" t="str">
        <f>INDEX($F76:$F78,T79)</f>
        <v>Forecast</v>
      </c>
      <c r="U80" s="20" t="str">
        <f>INDEX($F76:$F78,U79)</f>
        <v>Forecast</v>
      </c>
    </row>
    <row r="81" ht="12.75" hidden="1" outlineLevel="1">
      <c r="A81" s="4"/>
    </row>
    <row r="82" spans="2:21" ht="12.75" hidden="1" outlineLevel="1">
      <c r="B82" s="35" t="s">
        <v>273</v>
      </c>
      <c r="E82" s="4"/>
      <c r="F82" s="4"/>
      <c r="G82" s="4"/>
      <c r="H82" s="4"/>
      <c r="I82" s="4"/>
      <c r="J82" s="4"/>
      <c r="K82" s="4"/>
      <c r="L82" s="4"/>
      <c r="M82" s="4"/>
      <c r="N82" s="4"/>
      <c r="O82" s="4"/>
      <c r="P82" s="4"/>
      <c r="Q82" s="4"/>
      <c r="R82" s="4"/>
      <c r="S82" s="4"/>
      <c r="T82" s="4"/>
      <c r="U82" s="4"/>
    </row>
    <row r="83" spans="5:21" ht="12.75" hidden="1" outlineLevel="1">
      <c r="E83" s="4" t="str">
        <f>E$55</f>
        <v>Pre-forecast period flag</v>
      </c>
      <c r="F83" s="4">
        <f aca="true" t="shared" si="29" ref="F83:U83">F$55</f>
        <v>0</v>
      </c>
      <c r="G83" s="4" t="str">
        <f t="shared" si="29"/>
        <v>flag</v>
      </c>
      <c r="H83" s="4">
        <f t="shared" si="29"/>
        <v>8</v>
      </c>
      <c r="I83" s="4">
        <f t="shared" si="29"/>
        <v>0</v>
      </c>
      <c r="J83" s="4">
        <f t="shared" si="29"/>
        <v>1</v>
      </c>
      <c r="K83" s="4">
        <f t="shared" si="29"/>
        <v>1</v>
      </c>
      <c r="L83" s="4">
        <f t="shared" si="29"/>
        <v>1</v>
      </c>
      <c r="M83" s="4">
        <f t="shared" si="29"/>
        <v>1</v>
      </c>
      <c r="N83" s="4">
        <f t="shared" si="29"/>
        <v>1</v>
      </c>
      <c r="O83" s="4">
        <f t="shared" si="29"/>
        <v>1</v>
      </c>
      <c r="P83" s="4">
        <f t="shared" si="29"/>
        <v>1</v>
      </c>
      <c r="Q83" s="4">
        <f t="shared" si="29"/>
        <v>1</v>
      </c>
      <c r="R83" s="4">
        <f t="shared" si="29"/>
        <v>0</v>
      </c>
      <c r="S83" s="4">
        <f t="shared" si="29"/>
        <v>0</v>
      </c>
      <c r="T83" s="4">
        <f t="shared" si="29"/>
        <v>0</v>
      </c>
      <c r="U83" s="4">
        <f t="shared" si="29"/>
        <v>0</v>
      </c>
    </row>
    <row r="84" spans="5:21" ht="12.75" hidden="1" outlineLevel="1">
      <c r="E84" s="4" t="str">
        <f>E$49</f>
        <v>Forecast period flag</v>
      </c>
      <c r="F84" s="4">
        <f aca="true" t="shared" si="30" ref="F84:U84">F$49</f>
        <v>0</v>
      </c>
      <c r="G84" s="4" t="str">
        <f t="shared" si="30"/>
        <v>flag</v>
      </c>
      <c r="H84" s="4">
        <f t="shared" si="30"/>
        <v>4</v>
      </c>
      <c r="I84" s="4">
        <f t="shared" si="30"/>
        <v>0</v>
      </c>
      <c r="J84" s="4">
        <f t="shared" si="30"/>
        <v>0</v>
      </c>
      <c r="K84" s="4">
        <f t="shared" si="30"/>
        <v>0</v>
      </c>
      <c r="L84" s="4">
        <f t="shared" si="30"/>
        <v>0</v>
      </c>
      <c r="M84" s="4">
        <f t="shared" si="30"/>
        <v>0</v>
      </c>
      <c r="N84" s="4">
        <f t="shared" si="30"/>
        <v>0</v>
      </c>
      <c r="O84" s="4">
        <f t="shared" si="30"/>
        <v>0</v>
      </c>
      <c r="P84" s="4">
        <f t="shared" si="30"/>
        <v>0</v>
      </c>
      <c r="Q84" s="4">
        <f t="shared" si="30"/>
        <v>0</v>
      </c>
      <c r="R84" s="4">
        <f t="shared" si="30"/>
        <v>1</v>
      </c>
      <c r="S84" s="4">
        <f t="shared" si="30"/>
        <v>1</v>
      </c>
      <c r="T84" s="4">
        <f t="shared" si="30"/>
        <v>1</v>
      </c>
      <c r="U84" s="4">
        <f t="shared" si="30"/>
        <v>1</v>
      </c>
    </row>
    <row r="85" spans="5:21" ht="12.75" hidden="1" outlineLevel="1">
      <c r="E85" s="4" t="str">
        <f aca="true" t="shared" si="31" ref="E85:U85">E$64</f>
        <v>Post-forecast period flag</v>
      </c>
      <c r="F85" s="4">
        <f t="shared" si="31"/>
        <v>0</v>
      </c>
      <c r="G85" s="4" t="str">
        <f t="shared" si="31"/>
        <v>flag</v>
      </c>
      <c r="H85" s="4">
        <f t="shared" si="31"/>
        <v>0</v>
      </c>
      <c r="I85" s="4">
        <f t="shared" si="31"/>
        <v>0</v>
      </c>
      <c r="J85" s="4">
        <f t="shared" si="31"/>
        <v>0</v>
      </c>
      <c r="K85" s="4">
        <f t="shared" si="31"/>
        <v>0</v>
      </c>
      <c r="L85" s="4">
        <f t="shared" si="31"/>
        <v>0</v>
      </c>
      <c r="M85" s="4">
        <f t="shared" si="31"/>
        <v>0</v>
      </c>
      <c r="N85" s="4">
        <f t="shared" si="31"/>
        <v>0</v>
      </c>
      <c r="O85" s="4">
        <f t="shared" si="31"/>
        <v>0</v>
      </c>
      <c r="P85" s="4">
        <f t="shared" si="31"/>
        <v>0</v>
      </c>
      <c r="Q85" s="4">
        <f t="shared" si="31"/>
        <v>0</v>
      </c>
      <c r="R85" s="4">
        <f t="shared" si="31"/>
        <v>0</v>
      </c>
      <c r="S85" s="4">
        <f t="shared" si="31"/>
        <v>0</v>
      </c>
      <c r="T85" s="4">
        <f t="shared" si="31"/>
        <v>0</v>
      </c>
      <c r="U85" s="4">
        <f t="shared" si="31"/>
        <v>0</v>
      </c>
    </row>
    <row r="86" spans="5:21" ht="12.75" hidden="1" outlineLevel="1">
      <c r="E86" s="4" t="s">
        <v>274</v>
      </c>
      <c r="F86" s="4"/>
      <c r="G86" s="4" t="s">
        <v>17</v>
      </c>
      <c r="H86" s="4">
        <f>SUM(J86:U86)</f>
        <v>0</v>
      </c>
      <c r="I86" s="4"/>
      <c r="J86" s="4">
        <f aca="true" t="shared" si="32" ref="J86:R86">MAX(0,SUM(J83:J85)-1)</f>
        <v>0</v>
      </c>
      <c r="K86" s="4">
        <f t="shared" si="32"/>
        <v>0</v>
      </c>
      <c r="L86" s="4">
        <f t="shared" si="32"/>
        <v>0</v>
      </c>
      <c r="M86" s="4">
        <f t="shared" si="32"/>
        <v>0</v>
      </c>
      <c r="N86" s="4">
        <f t="shared" si="32"/>
        <v>0</v>
      </c>
      <c r="O86" s="4">
        <f t="shared" si="32"/>
        <v>0</v>
      </c>
      <c r="P86" s="4">
        <f t="shared" si="32"/>
        <v>0</v>
      </c>
      <c r="Q86" s="4">
        <f t="shared" si="32"/>
        <v>0</v>
      </c>
      <c r="R86" s="4">
        <f t="shared" si="32"/>
        <v>0</v>
      </c>
      <c r="S86" s="4">
        <f>MAX(0,SUM(S83:S85)-1)</f>
        <v>0</v>
      </c>
      <c r="T86" s="4">
        <f>MAX(0,SUM(T83:T85)-1)</f>
        <v>0</v>
      </c>
      <c r="U86" s="4">
        <f>MAX(0,SUM(U83:U85)-1)</f>
        <v>0</v>
      </c>
    </row>
    <row r="87" spans="5:21" ht="12.75" hidden="1" outlineLevel="1">
      <c r="E87" s="4" t="s">
        <v>275</v>
      </c>
      <c r="F87" s="4">
        <f>SUM(J86:U86)</f>
        <v>0</v>
      </c>
      <c r="G87" s="4" t="s">
        <v>264</v>
      </c>
      <c r="H87" s="4"/>
      <c r="I87" s="4"/>
      <c r="J87" s="4"/>
      <c r="K87" s="4"/>
      <c r="L87" s="4"/>
      <c r="M87" s="4"/>
      <c r="N87" s="4"/>
      <c r="O87" s="4"/>
      <c r="P87" s="4"/>
      <c r="Q87" s="4"/>
      <c r="R87" s="4"/>
      <c r="S87" s="4"/>
      <c r="T87" s="4"/>
      <c r="U87" s="4"/>
    </row>
    <row r="88" spans="5:21" ht="12.75" hidden="1" outlineLevel="1">
      <c r="E88" s="4"/>
      <c r="F88" s="4"/>
      <c r="G88" s="4"/>
      <c r="H88" s="4"/>
      <c r="I88" s="4"/>
      <c r="J88" s="4"/>
      <c r="K88" s="4"/>
      <c r="L88" s="4"/>
      <c r="M88" s="4"/>
      <c r="N88" s="4"/>
      <c r="O88" s="4"/>
      <c r="P88" s="4"/>
      <c r="Q88" s="4"/>
      <c r="R88" s="4"/>
      <c r="S88" s="4"/>
      <c r="T88" s="4"/>
      <c r="U88" s="4"/>
    </row>
    <row r="89" spans="5:21" ht="12.75" hidden="1" outlineLevel="1">
      <c r="E89" s="4" t="str">
        <f>E$11</f>
        <v>Model column total</v>
      </c>
      <c r="F89" s="4">
        <f>F$11</f>
        <v>12</v>
      </c>
      <c r="G89" s="4" t="str">
        <f>G$11</f>
        <v>columns</v>
      </c>
      <c r="H89" s="4"/>
      <c r="I89" s="4"/>
      <c r="J89" s="4"/>
      <c r="K89" s="4"/>
      <c r="L89" s="4"/>
      <c r="M89" s="4"/>
      <c r="N89" s="4"/>
      <c r="O89" s="4"/>
      <c r="P89" s="4"/>
      <c r="Q89" s="4"/>
      <c r="R89" s="4"/>
      <c r="S89" s="4"/>
      <c r="T89" s="4"/>
      <c r="U89" s="4"/>
    </row>
    <row r="90" spans="5:21" ht="12.75" hidden="1" outlineLevel="1">
      <c r="E90" s="4" t="str">
        <f>E$87</f>
        <v>Overlapping in periods - total</v>
      </c>
      <c r="F90" s="4">
        <f>F$87</f>
        <v>0</v>
      </c>
      <c r="G90" s="4" t="str">
        <f>G$87</f>
        <v>periods</v>
      </c>
      <c r="H90" s="4"/>
      <c r="I90" s="4"/>
      <c r="J90" s="4"/>
      <c r="K90" s="4"/>
      <c r="L90" s="4"/>
      <c r="M90" s="4"/>
      <c r="N90" s="4"/>
      <c r="O90" s="4"/>
      <c r="P90" s="4"/>
      <c r="Q90" s="4"/>
      <c r="R90" s="4"/>
      <c r="S90" s="4"/>
      <c r="T90" s="4"/>
      <c r="U90" s="4"/>
    </row>
    <row r="91" spans="5:21" ht="12.75" hidden="1" outlineLevel="1">
      <c r="E91" s="4" t="str">
        <f>E$56</f>
        <v>Pre-forecast period flag - total</v>
      </c>
      <c r="F91" s="4">
        <f>F$56</f>
        <v>8</v>
      </c>
      <c r="G91" s="4" t="str">
        <f>G$56</f>
        <v>periods</v>
      </c>
      <c r="H91" s="4"/>
      <c r="I91" s="4"/>
      <c r="J91" s="4"/>
      <c r="K91" s="4"/>
      <c r="L91" s="4"/>
      <c r="M91" s="4"/>
      <c r="N91" s="4"/>
      <c r="O91" s="4"/>
      <c r="P91" s="4"/>
      <c r="Q91" s="4"/>
      <c r="R91" s="4"/>
      <c r="S91" s="4"/>
      <c r="T91" s="4"/>
      <c r="U91" s="4"/>
    </row>
    <row r="92" spans="5:21" ht="12.75" hidden="1" outlineLevel="1">
      <c r="E92" s="4" t="str">
        <f>E$50</f>
        <v>Total number of forecast periods </v>
      </c>
      <c r="F92" s="4">
        <f>F$50</f>
        <v>4</v>
      </c>
      <c r="G92" s="4" t="str">
        <f>G$50</f>
        <v>periods</v>
      </c>
      <c r="H92" s="4"/>
      <c r="I92" s="4"/>
      <c r="J92" s="4"/>
      <c r="K92" s="4"/>
      <c r="L92" s="4"/>
      <c r="M92" s="4"/>
      <c r="N92" s="4"/>
      <c r="O92" s="4"/>
      <c r="P92" s="4"/>
      <c r="Q92" s="4"/>
      <c r="R92" s="4"/>
      <c r="S92" s="4"/>
      <c r="T92" s="4"/>
      <c r="U92" s="4"/>
    </row>
    <row r="93" spans="5:21" ht="12.75" hidden="1" outlineLevel="1">
      <c r="E93" s="4" t="str">
        <f>E$65</f>
        <v>Post-forecast period - total</v>
      </c>
      <c r="F93" s="4">
        <f>F$65</f>
        <v>0</v>
      </c>
      <c r="G93" s="4" t="str">
        <f>G$65</f>
        <v>periods</v>
      </c>
      <c r="H93" s="4"/>
      <c r="I93" s="4"/>
      <c r="J93" s="4"/>
      <c r="K93" s="4"/>
      <c r="L93" s="4"/>
      <c r="M93" s="4"/>
      <c r="N93" s="4"/>
      <c r="O93" s="4"/>
      <c r="P93" s="4"/>
      <c r="Q93" s="4"/>
      <c r="R93" s="4"/>
      <c r="S93" s="4"/>
      <c r="T93" s="4"/>
      <c r="U93" s="4"/>
    </row>
    <row r="94" spans="5:21" ht="12.75" hidden="1" outlineLevel="1">
      <c r="E94" s="4" t="s">
        <v>273</v>
      </c>
      <c r="F94" s="261">
        <f>IF(SUM(F89:F90)-SUM(F91:F93)&lt;&gt;0,1,0)</f>
        <v>0</v>
      </c>
      <c r="G94" s="4" t="s">
        <v>276</v>
      </c>
      <c r="H94" s="4"/>
      <c r="I94" s="4"/>
      <c r="J94" s="4"/>
      <c r="K94" s="4"/>
      <c r="L94" s="4"/>
      <c r="M94" s="4"/>
      <c r="N94" s="4"/>
      <c r="O94" s="4"/>
      <c r="P94" s="4"/>
      <c r="Q94" s="4"/>
      <c r="R94" s="4"/>
      <c r="S94" s="4"/>
      <c r="T94" s="4"/>
      <c r="U94" s="4"/>
    </row>
    <row r="95" spans="5:21" ht="12.75" hidden="1" outlineLevel="1">
      <c r="E95" s="4"/>
      <c r="F95" s="4"/>
      <c r="G95" s="4"/>
      <c r="H95" s="4"/>
      <c r="I95" s="4"/>
      <c r="J95" s="4"/>
      <c r="K95" s="4"/>
      <c r="L95" s="4"/>
      <c r="M95" s="4"/>
      <c r="N95" s="4"/>
      <c r="O95" s="4"/>
      <c r="P95" s="4"/>
      <c r="Q95" s="4"/>
      <c r="R95" s="4"/>
      <c r="S95" s="4"/>
      <c r="T95" s="4"/>
      <c r="U95" s="4"/>
    </row>
    <row r="96" spans="5:21" ht="12.75">
      <c r="E96" s="4"/>
      <c r="F96" s="4"/>
      <c r="G96" s="4"/>
      <c r="H96" s="4"/>
      <c r="I96" s="4"/>
      <c r="J96" s="4"/>
      <c r="K96" s="4"/>
      <c r="L96" s="4"/>
      <c r="M96" s="4"/>
      <c r="N96" s="4"/>
      <c r="O96" s="4"/>
      <c r="P96" s="4"/>
      <c r="Q96" s="4"/>
      <c r="R96" s="4"/>
      <c r="S96" s="4"/>
      <c r="T96" s="4"/>
      <c r="U96" s="4"/>
    </row>
    <row r="97" spans="1:21" ht="12.75" customHeight="1" collapsed="1">
      <c r="A97" s="43" t="s">
        <v>277</v>
      </c>
      <c r="B97" s="43"/>
      <c r="C97" s="44"/>
      <c r="D97" s="43"/>
      <c r="E97" s="43"/>
      <c r="F97" s="43"/>
      <c r="G97" s="43"/>
      <c r="H97" s="43"/>
      <c r="I97" s="43"/>
      <c r="J97" s="43"/>
      <c r="K97" s="43"/>
      <c r="L97" s="43"/>
      <c r="M97" s="43"/>
      <c r="N97" s="43"/>
      <c r="O97" s="43"/>
      <c r="P97" s="43"/>
      <c r="Q97" s="43"/>
      <c r="R97" s="43"/>
      <c r="S97" s="43"/>
      <c r="T97" s="43"/>
      <c r="U97" s="43"/>
    </row>
    <row r="98" spans="5:21" ht="12.75" hidden="1" outlineLevel="1">
      <c r="E98" s="4"/>
      <c r="F98" s="4"/>
      <c r="G98" s="4"/>
      <c r="H98" s="4"/>
      <c r="I98" s="4"/>
      <c r="J98" s="4"/>
      <c r="K98" s="4"/>
      <c r="L98" s="4"/>
      <c r="M98" s="4"/>
      <c r="N98" s="4"/>
      <c r="O98" s="4"/>
      <c r="P98" s="4"/>
      <c r="Q98" s="4"/>
      <c r="R98" s="4"/>
      <c r="S98" s="4"/>
      <c r="T98" s="4"/>
      <c r="U98" s="4"/>
    </row>
    <row r="99" spans="5:21" ht="12.75" hidden="1" outlineLevel="1">
      <c r="E99" s="7" t="str">
        <f>Inputs!E$16</f>
        <v>First modelling column financial year#</v>
      </c>
      <c r="F99" s="7">
        <f>Inputs!F$16</f>
        <v>2013</v>
      </c>
      <c r="G99" s="7" t="str">
        <f>Inputs!G$16</f>
        <v>year #</v>
      </c>
      <c r="H99" s="7"/>
      <c r="I99" s="7"/>
      <c r="J99" s="7"/>
      <c r="K99" s="7"/>
      <c r="L99" s="7"/>
      <c r="M99" s="7"/>
      <c r="N99" s="7"/>
      <c r="O99" s="7"/>
      <c r="P99" s="7"/>
      <c r="Q99" s="7"/>
      <c r="R99" s="7"/>
      <c r="S99" s="7"/>
      <c r="T99" s="7"/>
      <c r="U99" s="7"/>
    </row>
    <row r="100" spans="5:21" ht="12.75" hidden="1" outlineLevel="1">
      <c r="E100" s="7" t="str">
        <f>Inputs!E$17</f>
        <v>Financial year end month number</v>
      </c>
      <c r="F100" s="7">
        <f>Inputs!F$17</f>
        <v>3</v>
      </c>
      <c r="G100" s="7" t="str">
        <f>Inputs!G$17</f>
        <v>month #</v>
      </c>
      <c r="H100" s="7"/>
      <c r="I100" s="7"/>
      <c r="J100" s="7"/>
      <c r="K100" s="7"/>
      <c r="L100" s="7"/>
      <c r="M100" s="7"/>
      <c r="N100" s="7"/>
      <c r="O100" s="7"/>
      <c r="P100" s="7"/>
      <c r="Q100" s="7"/>
      <c r="R100" s="7"/>
      <c r="S100" s="7"/>
      <c r="T100" s="7"/>
      <c r="U100" s="7"/>
    </row>
    <row r="101" spans="5:21" ht="12.75" hidden="1" outlineLevel="1">
      <c r="E101" s="12" t="str">
        <f aca="true" t="shared" si="33" ref="E101:U101">E$25</f>
        <v>Model period ending</v>
      </c>
      <c r="F101" s="12">
        <f t="shared" si="33"/>
        <v>0</v>
      </c>
      <c r="G101" s="12" t="str">
        <f t="shared" si="33"/>
        <v>date</v>
      </c>
      <c r="H101" s="12">
        <f t="shared" si="33"/>
        <v>0</v>
      </c>
      <c r="I101" s="12">
        <f t="shared" si="33"/>
        <v>0</v>
      </c>
      <c r="J101" s="12">
        <f t="shared" si="33"/>
        <v>41364</v>
      </c>
      <c r="K101" s="12">
        <f t="shared" si="33"/>
        <v>41729</v>
      </c>
      <c r="L101" s="12">
        <f t="shared" si="33"/>
        <v>42094</v>
      </c>
      <c r="M101" s="12">
        <f t="shared" si="33"/>
        <v>42460</v>
      </c>
      <c r="N101" s="12">
        <f t="shared" si="33"/>
        <v>42825</v>
      </c>
      <c r="O101" s="12">
        <f t="shared" si="33"/>
        <v>43190</v>
      </c>
      <c r="P101" s="12">
        <f t="shared" si="33"/>
        <v>43555</v>
      </c>
      <c r="Q101" s="12">
        <f t="shared" si="33"/>
        <v>43921</v>
      </c>
      <c r="R101" s="12">
        <f t="shared" si="33"/>
        <v>44286</v>
      </c>
      <c r="S101" s="12">
        <f t="shared" si="33"/>
        <v>44651</v>
      </c>
      <c r="T101" s="12">
        <f t="shared" si="33"/>
        <v>45016</v>
      </c>
      <c r="U101" s="12">
        <f t="shared" si="33"/>
        <v>45382</v>
      </c>
    </row>
    <row r="102" spans="5:21" ht="12.75" hidden="1" outlineLevel="1">
      <c r="E102" s="4" t="str">
        <f aca="true" t="shared" si="34" ref="E102:U102">E$14</f>
        <v>1st model column flag</v>
      </c>
      <c r="F102" s="4">
        <f t="shared" si="34"/>
        <v>0</v>
      </c>
      <c r="G102" s="4" t="str">
        <f t="shared" si="34"/>
        <v>flag</v>
      </c>
      <c r="H102" s="4">
        <f t="shared" si="34"/>
        <v>1</v>
      </c>
      <c r="I102" s="4">
        <f t="shared" si="34"/>
        <v>0</v>
      </c>
      <c r="J102" s="4">
        <f t="shared" si="34"/>
        <v>1</v>
      </c>
      <c r="K102" s="4">
        <f t="shared" si="34"/>
        <v>0</v>
      </c>
      <c r="L102" s="4">
        <f t="shared" si="34"/>
        <v>0</v>
      </c>
      <c r="M102" s="4">
        <f t="shared" si="34"/>
        <v>0</v>
      </c>
      <c r="N102" s="4">
        <f t="shared" si="34"/>
        <v>0</v>
      </c>
      <c r="O102" s="4">
        <f t="shared" si="34"/>
        <v>0</v>
      </c>
      <c r="P102" s="4">
        <f t="shared" si="34"/>
        <v>0</v>
      </c>
      <c r="Q102" s="4">
        <f t="shared" si="34"/>
        <v>0</v>
      </c>
      <c r="R102" s="4">
        <f t="shared" si="34"/>
        <v>0</v>
      </c>
      <c r="S102" s="4">
        <f t="shared" si="34"/>
        <v>0</v>
      </c>
      <c r="T102" s="4">
        <f t="shared" si="34"/>
        <v>0</v>
      </c>
      <c r="U102" s="4">
        <f t="shared" si="34"/>
        <v>0</v>
      </c>
    </row>
    <row r="103" spans="1:21" s="149" customFormat="1" ht="12.75" hidden="1" outlineLevel="1">
      <c r="A103" s="163"/>
      <c r="B103" s="163"/>
      <c r="C103" s="164"/>
      <c r="D103" s="165"/>
      <c r="E103" s="165" t="s">
        <v>278</v>
      </c>
      <c r="F103" s="163"/>
      <c r="G103" s="165" t="s">
        <v>145</v>
      </c>
      <c r="H103" s="165"/>
      <c r="I103" s="200"/>
      <c r="J103" s="205">
        <f aca="true" t="shared" si="35" ref="J103:R103">IF(J102=1,$F99,IF(J101&gt;(DATE(I103,$F100+1,1)-1),I103+1,I103))</f>
        <v>2013</v>
      </c>
      <c r="K103" s="205">
        <f t="shared" si="35"/>
        <v>2014</v>
      </c>
      <c r="L103" s="205">
        <f t="shared" si="35"/>
        <v>2015</v>
      </c>
      <c r="M103" s="205">
        <f t="shared" si="35"/>
        <v>2016</v>
      </c>
      <c r="N103" s="205">
        <f t="shared" si="35"/>
        <v>2017</v>
      </c>
      <c r="O103" s="205">
        <f t="shared" si="35"/>
        <v>2018</v>
      </c>
      <c r="P103" s="205">
        <f t="shared" si="35"/>
        <v>2019</v>
      </c>
      <c r="Q103" s="205">
        <f t="shared" si="35"/>
        <v>2020</v>
      </c>
      <c r="R103" s="205">
        <f t="shared" si="35"/>
        <v>2021</v>
      </c>
      <c r="S103" s="205">
        <f>IF(S102=1,$F99,IF(S101&gt;(DATE(R103,$F100+1,1)-1),R103+1,R103))</f>
        <v>2022</v>
      </c>
      <c r="T103" s="205">
        <f>IF(T102=1,$F99,IF(T101&gt;(DATE(S103,$F100+1,1)-1),S103+1,S103))</f>
        <v>2023</v>
      </c>
      <c r="U103" s="205">
        <f>IF(U102=1,$F99,IF(U101&gt;(DATE(T103,$F100+1,1)-1),T103+1,T103))</f>
        <v>2024</v>
      </c>
    </row>
    <row r="104" ht="12.75" hidden="1" outlineLevel="1"/>
  </sheetData>
  <sheetProtection/>
  <conditionalFormatting sqref="F94">
    <cfRule type="cellIs" priority="53" dxfId="14" operator="notEqual" stopIfTrue="1">
      <formula>0</formula>
    </cfRule>
    <cfRule type="cellIs" priority="54" dxfId="14" operator="equal" stopIfTrue="1">
      <formula>""</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48"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sheetPr codeName="Sheet11">
    <outlinePr summaryBelow="0" summaryRight="0"/>
    <pageSetUpPr fitToPage="1"/>
  </sheetPr>
  <dimension ref="A1:U107"/>
  <sheetViews>
    <sheetView showGridLines="0" defaultGridColor="0" zoomScale="80" zoomScaleNormal="80" zoomScalePageLayoutView="0" colorId="22" workbookViewId="0" topLeftCell="A1">
      <pane xSplit="9" ySplit="5" topLeftCell="J6"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outlineLevelRow="2"/>
  <cols>
    <col min="1" max="2" width="1.28515625" style="35" customWidth="1"/>
    <col min="3" max="3" width="1.28515625" style="34" customWidth="1"/>
    <col min="4" max="4" width="1.28515625" style="4" customWidth="1"/>
    <col min="5" max="5" width="75.7109375" style="0" customWidth="1"/>
    <col min="6" max="6" width="12.7109375" style="0" customWidth="1"/>
    <col min="7" max="7" width="11.7109375" style="0" customWidth="1"/>
    <col min="8" max="8" width="15.7109375" style="0" customWidth="1"/>
    <col min="9" max="9" width="2.7109375" style="0" customWidth="1"/>
    <col min="10" max="21" width="12.7109375" style="0" customWidth="1"/>
    <col min="22" max="16384" width="9.140625" style="0" hidden="1" customWidth="1"/>
  </cols>
  <sheetData>
    <row r="1" spans="1:21" ht="26.25">
      <c r="A1" s="22" t="str">
        <f ca="1">RIGHT(CELL("filename",$A$1),LEN(CELL("filename",$A$1))-SEARCH("]",CELL("filename",$A$1)))</f>
        <v>Indexation</v>
      </c>
      <c r="B1" s="22"/>
      <c r="C1" s="23"/>
      <c r="D1" s="36"/>
      <c r="E1" s="36"/>
      <c r="F1" s="143"/>
      <c r="G1" s="144"/>
      <c r="H1" s="139"/>
      <c r="I1" s="36"/>
      <c r="J1" s="88"/>
      <c r="K1" s="36"/>
      <c r="L1" s="36"/>
      <c r="M1" s="36"/>
      <c r="N1" s="36"/>
      <c r="O1" s="36"/>
      <c r="P1" s="36"/>
      <c r="Q1" s="36"/>
      <c r="R1" s="36"/>
      <c r="S1" s="36"/>
      <c r="T1" s="36"/>
      <c r="U1" s="36"/>
    </row>
    <row r="2" spans="5:21" ht="12.75" customHeight="1">
      <c r="E2" s="4" t="str">
        <f>Time!E$25</f>
        <v>Model period ending</v>
      </c>
      <c r="F2" s="133"/>
      <c r="G2" s="133"/>
      <c r="H2" s="4"/>
      <c r="I2" s="4"/>
      <c r="J2" s="3">
        <f>Time!J$25</f>
        <v>41364</v>
      </c>
      <c r="K2" s="3">
        <f>Time!K$25</f>
        <v>41729</v>
      </c>
      <c r="L2" s="3">
        <f>Time!L$25</f>
        <v>42094</v>
      </c>
      <c r="M2" s="3">
        <f>Time!M$25</f>
        <v>42460</v>
      </c>
      <c r="N2" s="3">
        <f>Time!N$25</f>
        <v>42825</v>
      </c>
      <c r="O2" s="3">
        <f>Time!O$25</f>
        <v>43190</v>
      </c>
      <c r="P2" s="3">
        <f>Time!P$25</f>
        <v>43555</v>
      </c>
      <c r="Q2" s="3">
        <f>Time!Q$25</f>
        <v>43921</v>
      </c>
      <c r="R2" s="3">
        <f>Time!R$25</f>
        <v>44286</v>
      </c>
      <c r="S2" s="3">
        <f>Time!S$25</f>
        <v>44651</v>
      </c>
      <c r="T2" s="3">
        <f>Time!T$25</f>
        <v>45016</v>
      </c>
      <c r="U2" s="3">
        <f>Time!U$25</f>
        <v>45382</v>
      </c>
    </row>
    <row r="3" spans="5:21" ht="12.75" customHeight="1">
      <c r="E3" s="4" t="str">
        <f>Time!E$80</f>
        <v>Timeline label</v>
      </c>
      <c r="F3" s="26"/>
      <c r="G3" s="26"/>
      <c r="H3" s="4"/>
      <c r="I3" s="4"/>
      <c r="J3" s="124" t="str">
        <f>Time!J$80</f>
        <v>Pre-Fcst</v>
      </c>
      <c r="K3" s="124" t="str">
        <f>Time!K$80</f>
        <v>Pre-Fcst</v>
      </c>
      <c r="L3" s="124" t="str">
        <f>Time!L$80</f>
        <v>Pre-Fcst</v>
      </c>
      <c r="M3" s="124" t="str">
        <f>Time!M$80</f>
        <v>Pre-Fcst</v>
      </c>
      <c r="N3" s="124" t="str">
        <f>Time!N$80</f>
        <v>Pre-Fcst</v>
      </c>
      <c r="O3" s="124" t="str">
        <f>Time!O$80</f>
        <v>Pre-Fcst</v>
      </c>
      <c r="P3" s="124" t="str">
        <f>Time!P$80</f>
        <v>Pre-Fcst</v>
      </c>
      <c r="Q3" s="124" t="str">
        <f>Time!Q$80</f>
        <v>Pre-Fcst</v>
      </c>
      <c r="R3" s="124" t="str">
        <f>Time!R$80</f>
        <v>Forecast</v>
      </c>
      <c r="S3" s="124" t="str">
        <f>Time!S$80</f>
        <v>Forecast</v>
      </c>
      <c r="T3" s="124" t="str">
        <f>Time!T$80</f>
        <v>Forecast</v>
      </c>
      <c r="U3" s="124" t="str">
        <f>Time!U$80</f>
        <v>Forecast</v>
      </c>
    </row>
    <row r="4" spans="4:21" ht="12.75" customHeight="1">
      <c r="D4" s="288"/>
      <c r="E4" s="4" t="str">
        <f>Time!E$103</f>
        <v>Financial year ending</v>
      </c>
      <c r="F4" s="26"/>
      <c r="G4" s="26"/>
      <c r="H4" s="4"/>
      <c r="I4" s="4"/>
      <c r="J4" s="24">
        <f>Time!J$103</f>
        <v>2013</v>
      </c>
      <c r="K4" s="24">
        <f>Time!K$103</f>
        <v>2014</v>
      </c>
      <c r="L4" s="24">
        <f>Time!L$103</f>
        <v>2015</v>
      </c>
      <c r="M4" s="24">
        <f>Time!M$103</f>
        <v>2016</v>
      </c>
      <c r="N4" s="24">
        <f>Time!N$103</f>
        <v>2017</v>
      </c>
      <c r="O4" s="24">
        <f>Time!O$103</f>
        <v>2018</v>
      </c>
      <c r="P4" s="24">
        <f>Time!P$103</f>
        <v>2019</v>
      </c>
      <c r="Q4" s="24">
        <f>Time!Q$103</f>
        <v>2020</v>
      </c>
      <c r="R4" s="24">
        <f>Time!R$103</f>
        <v>2021</v>
      </c>
      <c r="S4" s="24">
        <f>Time!S$103</f>
        <v>2022</v>
      </c>
      <c r="T4" s="24">
        <f>Time!T$103</f>
        <v>2023</v>
      </c>
      <c r="U4" s="24">
        <f>Time!U$103</f>
        <v>2024</v>
      </c>
    </row>
    <row r="5" spans="5:21" ht="12.75" customHeight="1">
      <c r="E5" s="4" t="str">
        <f>Time!E$10</f>
        <v>Model column counter</v>
      </c>
      <c r="F5" s="38" t="s">
        <v>133</v>
      </c>
      <c r="G5" s="35" t="s">
        <v>134</v>
      </c>
      <c r="H5" s="38" t="s">
        <v>135</v>
      </c>
      <c r="I5" s="4"/>
      <c r="J5" s="4">
        <f>Time!J$10</f>
        <v>1</v>
      </c>
      <c r="K5" s="4">
        <f>Time!K$10</f>
        <v>2</v>
      </c>
      <c r="L5" s="4">
        <f>Time!L$10</f>
        <v>3</v>
      </c>
      <c r="M5" s="4">
        <f>Time!M$10</f>
        <v>4</v>
      </c>
      <c r="N5" s="4">
        <f>Time!N$10</f>
        <v>5</v>
      </c>
      <c r="O5" s="4">
        <f>Time!O$10</f>
        <v>6</v>
      </c>
      <c r="P5" s="4">
        <f>Time!P$10</f>
        <v>7</v>
      </c>
      <c r="Q5" s="4">
        <f>Time!Q$10</f>
        <v>8</v>
      </c>
      <c r="R5" s="4">
        <f>Time!R$10</f>
        <v>9</v>
      </c>
      <c r="S5" s="4">
        <f>Time!S$10</f>
        <v>10</v>
      </c>
      <c r="T5" s="4">
        <f>Time!T$10</f>
        <v>11</v>
      </c>
      <c r="U5" s="4">
        <f>Time!U$10</f>
        <v>12</v>
      </c>
    </row>
    <row r="6" ht="12.75">
      <c r="D6" s="288"/>
    </row>
    <row r="7" spans="1:21" ht="12.75" customHeight="1" collapsed="1">
      <c r="A7" s="43" t="s">
        <v>165</v>
      </c>
      <c r="B7" s="43"/>
      <c r="C7" s="44"/>
      <c r="D7" s="43"/>
      <c r="E7" s="43"/>
      <c r="F7" s="43"/>
      <c r="G7" s="43"/>
      <c r="H7" s="43"/>
      <c r="I7" s="43"/>
      <c r="J7" s="43"/>
      <c r="K7" s="43"/>
      <c r="L7" s="43"/>
      <c r="M7" s="43"/>
      <c r="N7" s="43"/>
      <c r="O7" s="43"/>
      <c r="P7" s="43"/>
      <c r="Q7" s="43"/>
      <c r="R7" s="43"/>
      <c r="S7" s="43"/>
      <c r="T7" s="43"/>
      <c r="U7" s="43"/>
    </row>
    <row r="8" ht="12.75" hidden="1" outlineLevel="1"/>
    <row r="9" ht="12.75" hidden="1" outlineLevel="1">
      <c r="B9" s="35" t="s">
        <v>279</v>
      </c>
    </row>
    <row r="10" spans="1:21" s="149" customFormat="1" ht="12.75" hidden="1" outlineLevel="1">
      <c r="A10" s="163"/>
      <c r="B10" s="163"/>
      <c r="C10" s="164"/>
      <c r="D10" s="165"/>
      <c r="E10" s="177" t="str">
        <f>Inputs!E$35</f>
        <v>Consumer Price Index for April</v>
      </c>
      <c r="F10" s="177">
        <f>Inputs!F$35</f>
        <v>0</v>
      </c>
      <c r="G10" s="177" t="str">
        <f>Inputs!G$35</f>
        <v>index</v>
      </c>
      <c r="H10" s="177">
        <f>Inputs!H$35</f>
        <v>0</v>
      </c>
      <c r="I10" s="177">
        <f>Inputs!I$35</f>
        <v>0</v>
      </c>
      <c r="J10" s="177">
        <f>Inputs!J$35</f>
        <v>95.9</v>
      </c>
      <c r="K10" s="177">
        <f>Inputs!K$35</f>
        <v>98</v>
      </c>
      <c r="L10" s="177">
        <f>Inputs!L$35</f>
        <v>99.6</v>
      </c>
      <c r="M10" s="177">
        <f>Inputs!M$35</f>
        <v>99.9</v>
      </c>
      <c r="N10" s="177">
        <f>Inputs!N$35</f>
        <v>100.6</v>
      </c>
      <c r="O10" s="177">
        <f>Inputs!O$35</f>
        <v>103.2</v>
      </c>
      <c r="P10" s="177">
        <f>Inputs!P$35</f>
        <v>105.5</v>
      </c>
      <c r="Q10" s="177">
        <f>Inputs!Q$35</f>
        <v>107.6522</v>
      </c>
      <c r="R10" s="177">
        <f>Inputs!R$35</f>
        <v>0</v>
      </c>
      <c r="S10" s="177">
        <f>Inputs!S$35</f>
        <v>0</v>
      </c>
      <c r="T10" s="177">
        <f>Inputs!T$35</f>
        <v>0</v>
      </c>
      <c r="U10" s="177">
        <f>Inputs!U$35</f>
        <v>0</v>
      </c>
    </row>
    <row r="11" spans="1:21" s="149" customFormat="1" ht="12.75" hidden="1" outlineLevel="2">
      <c r="A11" s="163"/>
      <c r="B11" s="163"/>
      <c r="C11" s="164"/>
      <c r="D11" s="165"/>
      <c r="E11" s="177" t="str">
        <f>Inputs!E$36</f>
        <v>Consumer Price Index for May</v>
      </c>
      <c r="F11" s="177">
        <f>Inputs!F$36</f>
        <v>0</v>
      </c>
      <c r="G11" s="177" t="str">
        <f>Inputs!G$36</f>
        <v>index</v>
      </c>
      <c r="H11" s="177">
        <f>Inputs!H$36</f>
        <v>0</v>
      </c>
      <c r="I11" s="177">
        <f>Inputs!I$36</f>
        <v>0</v>
      </c>
      <c r="J11" s="177">
        <f>Inputs!J$36</f>
        <v>95.9</v>
      </c>
      <c r="K11" s="177">
        <f>Inputs!K$36</f>
        <v>98.2</v>
      </c>
      <c r="L11" s="177">
        <f>Inputs!L$36</f>
        <v>99.6</v>
      </c>
      <c r="M11" s="177">
        <f>Inputs!M$36</f>
        <v>100.1</v>
      </c>
      <c r="N11" s="177">
        <f>Inputs!N$36</f>
        <v>100.8</v>
      </c>
      <c r="O11" s="177">
        <f>Inputs!O$36</f>
        <v>103.5</v>
      </c>
      <c r="P11" s="177">
        <f>Inputs!P$36</f>
        <v>105.9</v>
      </c>
      <c r="Q11" s="177">
        <f>Inputs!Q$36</f>
        <v>107.88033</v>
      </c>
      <c r="R11" s="177">
        <f>Inputs!R$36</f>
        <v>0</v>
      </c>
      <c r="S11" s="177">
        <f>Inputs!S$36</f>
        <v>0</v>
      </c>
      <c r="T11" s="177">
        <f>Inputs!T$36</f>
        <v>0</v>
      </c>
      <c r="U11" s="177">
        <f>Inputs!U$36</f>
        <v>0</v>
      </c>
    </row>
    <row r="12" spans="1:21" s="149" customFormat="1" ht="12.75" hidden="1" outlineLevel="2">
      <c r="A12" s="163"/>
      <c r="B12" s="163"/>
      <c r="C12" s="164"/>
      <c r="D12" s="165"/>
      <c r="E12" s="177" t="str">
        <f>Inputs!E$37</f>
        <v>Consumer Price Index for June</v>
      </c>
      <c r="F12" s="177">
        <f>Inputs!F$37</f>
        <v>0</v>
      </c>
      <c r="G12" s="177" t="str">
        <f>Inputs!G$37</f>
        <v>index</v>
      </c>
      <c r="H12" s="177">
        <f>Inputs!H$37</f>
        <v>0</v>
      </c>
      <c r="I12" s="177">
        <f>Inputs!I$37</f>
        <v>0</v>
      </c>
      <c r="J12" s="177">
        <f>Inputs!J$37</f>
        <v>95.6</v>
      </c>
      <c r="K12" s="177">
        <f>Inputs!K$37</f>
        <v>98</v>
      </c>
      <c r="L12" s="177">
        <f>Inputs!L$37</f>
        <v>99.8</v>
      </c>
      <c r="M12" s="177">
        <f>Inputs!M$37</f>
        <v>100.1</v>
      </c>
      <c r="N12" s="177">
        <f>Inputs!N$37</f>
        <v>101</v>
      </c>
      <c r="O12" s="177">
        <f>Inputs!O$37</f>
        <v>103.5</v>
      </c>
      <c r="P12" s="177">
        <f>Inputs!P$37</f>
        <v>105.9</v>
      </c>
      <c r="Q12" s="177">
        <f>Inputs!Q$37</f>
        <v>107.92268999999999</v>
      </c>
      <c r="R12" s="177">
        <f>Inputs!R$37</f>
        <v>0</v>
      </c>
      <c r="S12" s="177">
        <f>Inputs!S$37</f>
        <v>0</v>
      </c>
      <c r="T12" s="177">
        <f>Inputs!T$37</f>
        <v>0</v>
      </c>
      <c r="U12" s="177">
        <f>Inputs!U$37</f>
        <v>0</v>
      </c>
    </row>
    <row r="13" spans="1:21" s="149" customFormat="1" ht="12.75" hidden="1" outlineLevel="2">
      <c r="A13" s="163"/>
      <c r="B13" s="163"/>
      <c r="C13" s="164"/>
      <c r="D13" s="165"/>
      <c r="E13" s="177" t="str">
        <f>Inputs!E$38</f>
        <v>Consumer Price Index for July</v>
      </c>
      <c r="F13" s="177">
        <f>Inputs!F$38</f>
        <v>0</v>
      </c>
      <c r="G13" s="177" t="str">
        <f>Inputs!G$38</f>
        <v>index</v>
      </c>
      <c r="H13" s="177">
        <f>Inputs!H$38</f>
        <v>0</v>
      </c>
      <c r="I13" s="177">
        <f>Inputs!I$38</f>
        <v>0</v>
      </c>
      <c r="J13" s="177">
        <f>Inputs!J$38</f>
        <v>95.7</v>
      </c>
      <c r="K13" s="177">
        <f>Inputs!K$38</f>
        <v>98</v>
      </c>
      <c r="L13" s="177">
        <f>Inputs!L$38</f>
        <v>99.6</v>
      </c>
      <c r="M13" s="177">
        <f>Inputs!M$38</f>
        <v>100</v>
      </c>
      <c r="N13" s="177">
        <f>Inputs!N$38</f>
        <v>100.9</v>
      </c>
      <c r="O13" s="177">
        <f>Inputs!O$38</f>
        <v>103.5</v>
      </c>
      <c r="P13" s="177">
        <f>Inputs!P$38</f>
        <v>105.9</v>
      </c>
      <c r="Q13" s="177">
        <f>Inputs!Q$38</f>
        <v>107.84856</v>
      </c>
      <c r="R13" s="177">
        <f>Inputs!R$38</f>
        <v>0</v>
      </c>
      <c r="S13" s="177">
        <f>Inputs!S$38</f>
        <v>0</v>
      </c>
      <c r="T13" s="177">
        <f>Inputs!T$38</f>
        <v>0</v>
      </c>
      <c r="U13" s="177">
        <f>Inputs!U$38</f>
        <v>0</v>
      </c>
    </row>
    <row r="14" spans="1:21" s="149" customFormat="1" ht="12.75" hidden="1" outlineLevel="2">
      <c r="A14" s="163"/>
      <c r="B14" s="163"/>
      <c r="C14" s="164"/>
      <c r="D14" s="165"/>
      <c r="E14" s="177" t="str">
        <f>Inputs!E$39</f>
        <v>Consumer Price Index for August</v>
      </c>
      <c r="F14" s="177">
        <f>Inputs!F$39</f>
        <v>0</v>
      </c>
      <c r="G14" s="177" t="str">
        <f>Inputs!G$39</f>
        <v>index</v>
      </c>
      <c r="H14" s="177">
        <f>Inputs!H$39</f>
        <v>0</v>
      </c>
      <c r="I14" s="177">
        <f>Inputs!I$39</f>
        <v>0</v>
      </c>
      <c r="J14" s="177">
        <f>Inputs!J$39</f>
        <v>96.1</v>
      </c>
      <c r="K14" s="177">
        <f>Inputs!K$39</f>
        <v>98.4</v>
      </c>
      <c r="L14" s="177">
        <f>Inputs!L$39</f>
        <v>99.9</v>
      </c>
      <c r="M14" s="177">
        <f>Inputs!M$39</f>
        <v>100.3</v>
      </c>
      <c r="N14" s="177">
        <f>Inputs!N$39</f>
        <v>101.2</v>
      </c>
      <c r="O14" s="177">
        <f>Inputs!O$39</f>
        <v>104</v>
      </c>
      <c r="P14" s="177">
        <f>Inputs!P$39</f>
        <v>106.5</v>
      </c>
      <c r="Q14" s="177">
        <f>Inputs!Q$39</f>
        <v>108.40635</v>
      </c>
      <c r="R14" s="177">
        <f>Inputs!R$39</f>
        <v>0</v>
      </c>
      <c r="S14" s="177">
        <f>Inputs!S$39</f>
        <v>0</v>
      </c>
      <c r="T14" s="177">
        <f>Inputs!T$39</f>
        <v>0</v>
      </c>
      <c r="U14" s="177">
        <f>Inputs!U$39</f>
        <v>0</v>
      </c>
    </row>
    <row r="15" spans="1:21" s="149" customFormat="1" ht="12.75" hidden="1" outlineLevel="2">
      <c r="A15" s="163"/>
      <c r="B15" s="163"/>
      <c r="C15" s="164"/>
      <c r="D15" s="165"/>
      <c r="E15" s="177" t="str">
        <f>Inputs!E$40</f>
        <v>Consumer Price Index for September</v>
      </c>
      <c r="F15" s="177">
        <f>Inputs!F$40</f>
        <v>0</v>
      </c>
      <c r="G15" s="177" t="str">
        <f>Inputs!G$40</f>
        <v>index</v>
      </c>
      <c r="H15" s="177">
        <f>Inputs!H$40</f>
        <v>0</v>
      </c>
      <c r="I15" s="177">
        <f>Inputs!I$40</f>
        <v>0</v>
      </c>
      <c r="J15" s="177">
        <f>Inputs!J$40</f>
        <v>96.4</v>
      </c>
      <c r="K15" s="177">
        <f>Inputs!K$40</f>
        <v>98.7</v>
      </c>
      <c r="L15" s="177">
        <f>Inputs!L$40</f>
        <v>100</v>
      </c>
      <c r="M15" s="177">
        <f>Inputs!M$40</f>
        <v>100.2</v>
      </c>
      <c r="N15" s="177">
        <f>Inputs!N$40</f>
        <v>101.5</v>
      </c>
      <c r="O15" s="177">
        <f>Inputs!O$40</f>
        <v>104.3</v>
      </c>
      <c r="P15" s="177">
        <f>Inputs!P$40</f>
        <v>106.6</v>
      </c>
      <c r="Q15" s="177">
        <f>Inputs!Q$40</f>
        <v>108.52946</v>
      </c>
      <c r="R15" s="177">
        <f>Inputs!R$40</f>
        <v>0</v>
      </c>
      <c r="S15" s="177">
        <f>Inputs!S$40</f>
        <v>0</v>
      </c>
      <c r="T15" s="177">
        <f>Inputs!T$40</f>
        <v>0</v>
      </c>
      <c r="U15" s="177">
        <f>Inputs!U$40</f>
        <v>0</v>
      </c>
    </row>
    <row r="16" spans="1:21" s="149" customFormat="1" ht="12.75" hidden="1" outlineLevel="2">
      <c r="A16" s="163"/>
      <c r="B16" s="163"/>
      <c r="C16" s="164"/>
      <c r="D16" s="165"/>
      <c r="E16" s="177" t="str">
        <f>Inputs!E$41</f>
        <v>Consumer Price Index for October</v>
      </c>
      <c r="F16" s="177">
        <f>Inputs!F$41</f>
        <v>0</v>
      </c>
      <c r="G16" s="177" t="str">
        <f>Inputs!G$41</f>
        <v>index</v>
      </c>
      <c r="H16" s="177">
        <f>Inputs!H$41</f>
        <v>0</v>
      </c>
      <c r="I16" s="177">
        <f>Inputs!I$41</f>
        <v>0</v>
      </c>
      <c r="J16" s="177">
        <f>Inputs!J$41</f>
        <v>96.8</v>
      </c>
      <c r="K16" s="177">
        <f>Inputs!K$41</f>
        <v>98.8</v>
      </c>
      <c r="L16" s="177">
        <f>Inputs!L$41</f>
        <v>100.1</v>
      </c>
      <c r="M16" s="177">
        <f>Inputs!M$41</f>
        <v>100.3</v>
      </c>
      <c r="N16" s="177">
        <f>Inputs!N$41</f>
        <v>101.6</v>
      </c>
      <c r="O16" s="177">
        <f>Inputs!O$41</f>
        <v>104.4</v>
      </c>
      <c r="P16" s="177">
        <f>Inputs!P$41</f>
        <v>106.7</v>
      </c>
      <c r="Q16" s="177">
        <f>Inputs!Q$41</f>
        <v>108.44988</v>
      </c>
      <c r="R16" s="177">
        <f>Inputs!R$41</f>
        <v>0</v>
      </c>
      <c r="S16" s="177">
        <f>Inputs!S$41</f>
        <v>0</v>
      </c>
      <c r="T16" s="177">
        <f>Inputs!T$41</f>
        <v>0</v>
      </c>
      <c r="U16" s="177">
        <f>Inputs!U$41</f>
        <v>0</v>
      </c>
    </row>
    <row r="17" spans="1:21" s="149" customFormat="1" ht="12.75" hidden="1" outlineLevel="2">
      <c r="A17" s="163"/>
      <c r="B17" s="163"/>
      <c r="C17" s="164"/>
      <c r="D17" s="165"/>
      <c r="E17" s="177" t="str">
        <f>Inputs!E$42</f>
        <v>Consumer Price Index for November</v>
      </c>
      <c r="F17" s="177">
        <f>Inputs!F$42</f>
        <v>0</v>
      </c>
      <c r="G17" s="177" t="str">
        <f>Inputs!G$42</f>
        <v>index</v>
      </c>
      <c r="H17" s="177">
        <f>Inputs!H$42</f>
        <v>0</v>
      </c>
      <c r="I17" s="177">
        <f>Inputs!I$42</f>
        <v>0</v>
      </c>
      <c r="J17" s="177">
        <f>Inputs!J$42</f>
        <v>97</v>
      </c>
      <c r="K17" s="177">
        <f>Inputs!K$42</f>
        <v>98.8</v>
      </c>
      <c r="L17" s="177">
        <f>Inputs!L$42</f>
        <v>99.9</v>
      </c>
      <c r="M17" s="177">
        <f>Inputs!M$42</f>
        <v>100.3</v>
      </c>
      <c r="N17" s="177">
        <f>Inputs!N$42</f>
        <v>101.8</v>
      </c>
      <c r="O17" s="177">
        <f>Inputs!O$42</f>
        <v>104.7</v>
      </c>
      <c r="P17" s="177">
        <f>Inputs!P$42</f>
        <v>106.9</v>
      </c>
      <c r="Q17" s="177">
        <f>Inputs!Q$42</f>
        <v>108.65316</v>
      </c>
      <c r="R17" s="177">
        <f>Inputs!R$42</f>
        <v>0</v>
      </c>
      <c r="S17" s="177">
        <f>Inputs!S$42</f>
        <v>0</v>
      </c>
      <c r="T17" s="177">
        <f>Inputs!T$42</f>
        <v>0</v>
      </c>
      <c r="U17" s="177">
        <f>Inputs!U$42</f>
        <v>0</v>
      </c>
    </row>
    <row r="18" spans="1:21" s="149" customFormat="1" ht="12.75" hidden="1" outlineLevel="2">
      <c r="A18" s="163"/>
      <c r="B18" s="163"/>
      <c r="C18" s="164"/>
      <c r="D18" s="165"/>
      <c r="E18" s="177" t="str">
        <f>Inputs!E$43</f>
        <v>Consumer Price Index for December</v>
      </c>
      <c r="F18" s="177">
        <f>Inputs!F$43</f>
        <v>0</v>
      </c>
      <c r="G18" s="177" t="str">
        <f>Inputs!G$43</f>
        <v>index</v>
      </c>
      <c r="H18" s="177">
        <f>Inputs!H$43</f>
        <v>0</v>
      </c>
      <c r="I18" s="177">
        <f>Inputs!I$43</f>
        <v>0</v>
      </c>
      <c r="J18" s="177">
        <f>Inputs!J$43</f>
        <v>97.3</v>
      </c>
      <c r="K18" s="177">
        <f>Inputs!K$43</f>
        <v>99.2</v>
      </c>
      <c r="L18" s="177">
        <f>Inputs!L$43</f>
        <v>99.9</v>
      </c>
      <c r="M18" s="177">
        <f>Inputs!M$43</f>
        <v>100.4</v>
      </c>
      <c r="N18" s="177">
        <f>Inputs!N$43</f>
        <v>102.2</v>
      </c>
      <c r="O18" s="177">
        <f>Inputs!O$43</f>
        <v>105</v>
      </c>
      <c r="P18" s="177">
        <f>Inputs!P$43</f>
        <v>107.1</v>
      </c>
      <c r="Q18" s="177">
        <f>Inputs!Q$43</f>
        <v>108.95283</v>
      </c>
      <c r="R18" s="177">
        <f>Inputs!R$43</f>
        <v>0</v>
      </c>
      <c r="S18" s="177">
        <f>Inputs!S$43</f>
        <v>0</v>
      </c>
      <c r="T18" s="177">
        <f>Inputs!T$43</f>
        <v>0</v>
      </c>
      <c r="U18" s="177">
        <f>Inputs!U$43</f>
        <v>0</v>
      </c>
    </row>
    <row r="19" spans="1:21" s="149" customFormat="1" ht="12.75" hidden="1" outlineLevel="2">
      <c r="A19" s="163"/>
      <c r="B19" s="163"/>
      <c r="C19" s="164"/>
      <c r="D19" s="165"/>
      <c r="E19" s="177" t="str">
        <f>Inputs!E$44</f>
        <v>Consumer Price Index for January</v>
      </c>
      <c r="F19" s="177">
        <f>Inputs!F$44</f>
        <v>0</v>
      </c>
      <c r="G19" s="177" t="str">
        <f>Inputs!G$44</f>
        <v>index</v>
      </c>
      <c r="H19" s="177">
        <f>Inputs!H$44</f>
        <v>0</v>
      </c>
      <c r="I19" s="177">
        <f>Inputs!I$44</f>
        <v>0</v>
      </c>
      <c r="J19" s="177">
        <f>Inputs!J$44</f>
        <v>97</v>
      </c>
      <c r="K19" s="177">
        <f>Inputs!K$44</f>
        <v>98.7</v>
      </c>
      <c r="L19" s="177">
        <f>Inputs!L$44</f>
        <v>99.2</v>
      </c>
      <c r="M19" s="177">
        <f>Inputs!M$44</f>
        <v>99.9</v>
      </c>
      <c r="N19" s="177">
        <f>Inputs!N$44</f>
        <v>101.8</v>
      </c>
      <c r="O19" s="177">
        <f>Inputs!O$44</f>
        <v>104.5</v>
      </c>
      <c r="P19" s="177">
        <f>Inputs!P$44</f>
        <v>106.4</v>
      </c>
      <c r="Q19" s="177">
        <f>Inputs!Q$44</f>
        <v>108.69824000000001</v>
      </c>
      <c r="R19" s="177">
        <f>Inputs!R$44</f>
        <v>0</v>
      </c>
      <c r="S19" s="177">
        <f>Inputs!S$44</f>
        <v>0</v>
      </c>
      <c r="T19" s="177">
        <f>Inputs!T$44</f>
        <v>0</v>
      </c>
      <c r="U19" s="177">
        <f>Inputs!U$44</f>
        <v>0</v>
      </c>
    </row>
    <row r="20" spans="1:21" s="149" customFormat="1" ht="12.75" hidden="1" outlineLevel="2">
      <c r="A20" s="163"/>
      <c r="B20" s="163"/>
      <c r="C20" s="164"/>
      <c r="D20" s="165"/>
      <c r="E20" s="177" t="str">
        <f>Inputs!E$45</f>
        <v>Consumer Price Index for February</v>
      </c>
      <c r="F20" s="177">
        <f>Inputs!F$45</f>
        <v>0</v>
      </c>
      <c r="G20" s="177" t="str">
        <f>Inputs!G$45</f>
        <v>index</v>
      </c>
      <c r="H20" s="177">
        <f>Inputs!H$45</f>
        <v>0</v>
      </c>
      <c r="I20" s="177">
        <f>Inputs!I$45</f>
        <v>0</v>
      </c>
      <c r="J20" s="177">
        <f>Inputs!J$45</f>
        <v>97.5</v>
      </c>
      <c r="K20" s="177">
        <f>Inputs!K$45</f>
        <v>99.1</v>
      </c>
      <c r="L20" s="177">
        <f>Inputs!L$45</f>
        <v>99.5</v>
      </c>
      <c r="M20" s="177">
        <f>Inputs!M$45</f>
        <v>100.1</v>
      </c>
      <c r="N20" s="177">
        <f>Inputs!N$45</f>
        <v>102.4</v>
      </c>
      <c r="O20" s="177">
        <f>Inputs!O$45</f>
        <v>104.9</v>
      </c>
      <c r="P20" s="177">
        <f>Inputs!P$45</f>
        <v>106.8</v>
      </c>
      <c r="Q20" s="177">
        <f>Inputs!Q$45</f>
        <v>108.88260000000001</v>
      </c>
      <c r="R20" s="177">
        <f>Inputs!R$45</f>
        <v>0</v>
      </c>
      <c r="S20" s="177">
        <f>Inputs!S$45</f>
        <v>0</v>
      </c>
      <c r="T20" s="177">
        <f>Inputs!T$45</f>
        <v>0</v>
      </c>
      <c r="U20" s="177">
        <f>Inputs!U$45</f>
        <v>0</v>
      </c>
    </row>
    <row r="21" spans="1:21" s="149" customFormat="1" ht="12.75" hidden="1" outlineLevel="2">
      <c r="A21" s="163"/>
      <c r="B21" s="163"/>
      <c r="C21" s="164"/>
      <c r="D21" s="165"/>
      <c r="E21" s="177" t="str">
        <f>Inputs!E$46</f>
        <v>Consumer Price Index for March</v>
      </c>
      <c r="F21" s="177">
        <f>Inputs!F$46</f>
        <v>0</v>
      </c>
      <c r="G21" s="177" t="str">
        <f>Inputs!G$46</f>
        <v>index</v>
      </c>
      <c r="H21" s="177">
        <f>Inputs!H$46</f>
        <v>0</v>
      </c>
      <c r="I21" s="177">
        <f>Inputs!I$46</f>
        <v>0</v>
      </c>
      <c r="J21" s="177">
        <f>Inputs!J$46</f>
        <v>97.8</v>
      </c>
      <c r="K21" s="177">
        <f>Inputs!K$46</f>
        <v>99.3</v>
      </c>
      <c r="L21" s="177">
        <f>Inputs!L$46</f>
        <v>99.6</v>
      </c>
      <c r="M21" s="177">
        <f>Inputs!M$46</f>
        <v>100.4</v>
      </c>
      <c r="N21" s="177">
        <f>Inputs!N$46</f>
        <v>102.7</v>
      </c>
      <c r="O21" s="177">
        <f>Inputs!O$46</f>
        <v>105.1</v>
      </c>
      <c r="P21" s="177">
        <f>Inputs!P$46</f>
        <v>107.02332999999999</v>
      </c>
      <c r="Q21" s="177">
        <f>Inputs!Q$46</f>
        <v>109.088880269</v>
      </c>
      <c r="R21" s="177">
        <f>Inputs!R$46</f>
        <v>0</v>
      </c>
      <c r="S21" s="177">
        <f>Inputs!S$46</f>
        <v>0</v>
      </c>
      <c r="T21" s="177">
        <f>Inputs!T$46</f>
        <v>0</v>
      </c>
      <c r="U21" s="177">
        <f>Inputs!U$46</f>
        <v>0</v>
      </c>
    </row>
    <row r="22" ht="4.5" customHeight="1" hidden="1" outlineLevel="1"/>
    <row r="23" spans="1:21" s="160" customFormat="1" ht="12.75" hidden="1" outlineLevel="1">
      <c r="A23" s="178"/>
      <c r="B23" s="178"/>
      <c r="C23" s="179"/>
      <c r="D23" s="148"/>
      <c r="E23" s="148" t="str">
        <f>Inputs!E$48</f>
        <v>CPIH: Assumed percentage increase for unpopulated monthly values</v>
      </c>
      <c r="F23" s="148">
        <f>Inputs!F$48</f>
        <v>0</v>
      </c>
      <c r="G23" s="148" t="str">
        <f>Inputs!G$48</f>
        <v>%</v>
      </c>
      <c r="H23" s="148">
        <f>Inputs!H$48</f>
        <v>0</v>
      </c>
      <c r="I23" s="148">
        <f>Inputs!I$48</f>
        <v>0</v>
      </c>
      <c r="J23" s="148">
        <f>Inputs!J$48</f>
        <v>0</v>
      </c>
      <c r="K23" s="148">
        <f>Inputs!K$48</f>
        <v>0</v>
      </c>
      <c r="L23" s="148">
        <f>Inputs!L$48</f>
        <v>0</v>
      </c>
      <c r="M23" s="148">
        <f>Inputs!M$48</f>
        <v>0</v>
      </c>
      <c r="N23" s="148">
        <f>Inputs!N$48</f>
        <v>0</v>
      </c>
      <c r="O23" s="148">
        <f>Inputs!O$48</f>
        <v>0</v>
      </c>
      <c r="P23" s="148">
        <f>Inputs!P$48</f>
        <v>0</v>
      </c>
      <c r="Q23" s="148">
        <f>Inputs!Q$48</f>
        <v>0</v>
      </c>
      <c r="R23" s="148">
        <f>Inputs!R$48</f>
        <v>0</v>
      </c>
      <c r="S23" s="148">
        <f>Inputs!S$48</f>
        <v>0</v>
      </c>
      <c r="T23" s="148">
        <f>Inputs!T$48</f>
        <v>0</v>
      </c>
      <c r="U23" s="148">
        <f>Inputs!U$48</f>
        <v>0</v>
      </c>
    </row>
    <row r="24" ht="4.5" customHeight="1" hidden="1" outlineLevel="1"/>
    <row r="25" spans="5:21" ht="12.75" hidden="1" outlineLevel="1">
      <c r="E25" t="s">
        <v>280</v>
      </c>
      <c r="G25" t="s">
        <v>167</v>
      </c>
      <c r="I25" s="131"/>
      <c r="J25" s="147">
        <f>IF(J10&gt;0,J10,I25*(1+J$23))</f>
        <v>95.9</v>
      </c>
      <c r="K25" s="147">
        <f aca="true" t="shared" si="0" ref="K25:U25">IF(K10&gt;0,K10,J25*(1+K$23))</f>
        <v>98</v>
      </c>
      <c r="L25" s="147">
        <f t="shared" si="0"/>
        <v>99.6</v>
      </c>
      <c r="M25" s="147">
        <f t="shared" si="0"/>
        <v>99.9</v>
      </c>
      <c r="N25" s="147">
        <f t="shared" si="0"/>
        <v>100.6</v>
      </c>
      <c r="O25" s="147">
        <f t="shared" si="0"/>
        <v>103.2</v>
      </c>
      <c r="P25" s="147">
        <f t="shared" si="0"/>
        <v>105.5</v>
      </c>
      <c r="Q25" s="147">
        <f t="shared" si="0"/>
        <v>107.6522</v>
      </c>
      <c r="R25" s="147">
        <f t="shared" si="0"/>
        <v>107.6522</v>
      </c>
      <c r="S25" s="147">
        <f t="shared" si="0"/>
        <v>107.6522</v>
      </c>
      <c r="T25" s="147">
        <f t="shared" si="0"/>
        <v>107.6522</v>
      </c>
      <c r="U25" s="147">
        <f t="shared" si="0"/>
        <v>107.6522</v>
      </c>
    </row>
    <row r="26" spans="5:21" ht="12.75" hidden="1" outlineLevel="2">
      <c r="E26" t="s">
        <v>281</v>
      </c>
      <c r="G26" t="s">
        <v>167</v>
      </c>
      <c r="I26" s="131"/>
      <c r="J26" s="147">
        <f aca="true" t="shared" si="1" ref="J26:U36">IF(J11&gt;0,J11,I26*(1+J$23))</f>
        <v>95.9</v>
      </c>
      <c r="K26" s="147">
        <f t="shared" si="1"/>
        <v>98.2</v>
      </c>
      <c r="L26" s="147">
        <f t="shared" si="1"/>
        <v>99.6</v>
      </c>
      <c r="M26" s="147">
        <f t="shared" si="1"/>
        <v>100.1</v>
      </c>
      <c r="N26" s="147">
        <f t="shared" si="1"/>
        <v>100.8</v>
      </c>
      <c r="O26" s="147">
        <f t="shared" si="1"/>
        <v>103.5</v>
      </c>
      <c r="P26" s="147">
        <f t="shared" si="1"/>
        <v>105.9</v>
      </c>
      <c r="Q26" s="147">
        <f t="shared" si="1"/>
        <v>107.88033</v>
      </c>
      <c r="R26" s="147">
        <f t="shared" si="1"/>
        <v>107.88033</v>
      </c>
      <c r="S26" s="147">
        <f t="shared" si="1"/>
        <v>107.88033</v>
      </c>
      <c r="T26" s="147">
        <f t="shared" si="1"/>
        <v>107.88033</v>
      </c>
      <c r="U26" s="147">
        <f t="shared" si="1"/>
        <v>107.88033</v>
      </c>
    </row>
    <row r="27" spans="5:21" ht="12.75" hidden="1" outlineLevel="2">
      <c r="E27" t="s">
        <v>282</v>
      </c>
      <c r="G27" t="s">
        <v>167</v>
      </c>
      <c r="I27" s="131"/>
      <c r="J27" s="147">
        <f t="shared" si="1"/>
        <v>95.6</v>
      </c>
      <c r="K27" s="147">
        <f t="shared" si="1"/>
        <v>98</v>
      </c>
      <c r="L27" s="147">
        <f t="shared" si="1"/>
        <v>99.8</v>
      </c>
      <c r="M27" s="147">
        <f t="shared" si="1"/>
        <v>100.1</v>
      </c>
      <c r="N27" s="147">
        <f t="shared" si="1"/>
        <v>101</v>
      </c>
      <c r="O27" s="147">
        <f t="shared" si="1"/>
        <v>103.5</v>
      </c>
      <c r="P27" s="147">
        <f t="shared" si="1"/>
        <v>105.9</v>
      </c>
      <c r="Q27" s="147">
        <f t="shared" si="1"/>
        <v>107.92268999999999</v>
      </c>
      <c r="R27" s="147">
        <f t="shared" si="1"/>
        <v>107.92268999999999</v>
      </c>
      <c r="S27" s="147">
        <f t="shared" si="1"/>
        <v>107.92268999999999</v>
      </c>
      <c r="T27" s="147">
        <f t="shared" si="1"/>
        <v>107.92268999999999</v>
      </c>
      <c r="U27" s="147">
        <f t="shared" si="1"/>
        <v>107.92268999999999</v>
      </c>
    </row>
    <row r="28" spans="5:21" ht="12.75" hidden="1" outlineLevel="2">
      <c r="E28" t="s">
        <v>283</v>
      </c>
      <c r="G28" t="s">
        <v>167</v>
      </c>
      <c r="I28" s="131"/>
      <c r="J28" s="147">
        <f t="shared" si="1"/>
        <v>95.7</v>
      </c>
      <c r="K28" s="147">
        <f t="shared" si="1"/>
        <v>98</v>
      </c>
      <c r="L28" s="147">
        <f t="shared" si="1"/>
        <v>99.6</v>
      </c>
      <c r="M28" s="147">
        <f t="shared" si="1"/>
        <v>100</v>
      </c>
      <c r="N28" s="147">
        <f t="shared" si="1"/>
        <v>100.9</v>
      </c>
      <c r="O28" s="147">
        <f t="shared" si="1"/>
        <v>103.5</v>
      </c>
      <c r="P28" s="147">
        <f t="shared" si="1"/>
        <v>105.9</v>
      </c>
      <c r="Q28" s="147">
        <f t="shared" si="1"/>
        <v>107.84856</v>
      </c>
      <c r="R28" s="147">
        <f t="shared" si="1"/>
        <v>107.84856</v>
      </c>
      <c r="S28" s="147">
        <f t="shared" si="1"/>
        <v>107.84856</v>
      </c>
      <c r="T28" s="147">
        <f t="shared" si="1"/>
        <v>107.84856</v>
      </c>
      <c r="U28" s="147">
        <f t="shared" si="1"/>
        <v>107.84856</v>
      </c>
    </row>
    <row r="29" spans="5:21" ht="12.75" hidden="1" outlineLevel="2">
      <c r="E29" t="s">
        <v>284</v>
      </c>
      <c r="G29" t="s">
        <v>167</v>
      </c>
      <c r="I29" s="131"/>
      <c r="J29" s="147">
        <f t="shared" si="1"/>
        <v>96.1</v>
      </c>
      <c r="K29" s="147">
        <f t="shared" si="1"/>
        <v>98.4</v>
      </c>
      <c r="L29" s="147">
        <f t="shared" si="1"/>
        <v>99.9</v>
      </c>
      <c r="M29" s="147">
        <f t="shared" si="1"/>
        <v>100.3</v>
      </c>
      <c r="N29" s="147">
        <f t="shared" si="1"/>
        <v>101.2</v>
      </c>
      <c r="O29" s="147">
        <f t="shared" si="1"/>
        <v>104</v>
      </c>
      <c r="P29" s="147">
        <f t="shared" si="1"/>
        <v>106.5</v>
      </c>
      <c r="Q29" s="147">
        <f t="shared" si="1"/>
        <v>108.40635</v>
      </c>
      <c r="R29" s="147">
        <f t="shared" si="1"/>
        <v>108.40635</v>
      </c>
      <c r="S29" s="147">
        <f t="shared" si="1"/>
        <v>108.40635</v>
      </c>
      <c r="T29" s="147">
        <f t="shared" si="1"/>
        <v>108.40635</v>
      </c>
      <c r="U29" s="147">
        <f t="shared" si="1"/>
        <v>108.40635</v>
      </c>
    </row>
    <row r="30" spans="5:21" ht="12.75" hidden="1" outlineLevel="2">
      <c r="E30" t="s">
        <v>285</v>
      </c>
      <c r="G30" t="s">
        <v>167</v>
      </c>
      <c r="I30" s="131"/>
      <c r="J30" s="147">
        <f t="shared" si="1"/>
        <v>96.4</v>
      </c>
      <c r="K30" s="147">
        <f t="shared" si="1"/>
        <v>98.7</v>
      </c>
      <c r="L30" s="147">
        <f t="shared" si="1"/>
        <v>100</v>
      </c>
      <c r="M30" s="147">
        <f t="shared" si="1"/>
        <v>100.2</v>
      </c>
      <c r="N30" s="147">
        <f t="shared" si="1"/>
        <v>101.5</v>
      </c>
      <c r="O30" s="147">
        <f t="shared" si="1"/>
        <v>104.3</v>
      </c>
      <c r="P30" s="147">
        <f t="shared" si="1"/>
        <v>106.6</v>
      </c>
      <c r="Q30" s="147">
        <f t="shared" si="1"/>
        <v>108.52946</v>
      </c>
      <c r="R30" s="147">
        <f t="shared" si="1"/>
        <v>108.52946</v>
      </c>
      <c r="S30" s="147">
        <f t="shared" si="1"/>
        <v>108.52946</v>
      </c>
      <c r="T30" s="147">
        <f t="shared" si="1"/>
        <v>108.52946</v>
      </c>
      <c r="U30" s="147">
        <f t="shared" si="1"/>
        <v>108.52946</v>
      </c>
    </row>
    <row r="31" spans="5:21" ht="12.75" hidden="1" outlineLevel="2">
      <c r="E31" t="s">
        <v>286</v>
      </c>
      <c r="G31" t="s">
        <v>167</v>
      </c>
      <c r="I31" s="131"/>
      <c r="J31" s="147">
        <f t="shared" si="1"/>
        <v>96.8</v>
      </c>
      <c r="K31" s="147">
        <f t="shared" si="1"/>
        <v>98.8</v>
      </c>
      <c r="L31" s="147">
        <f t="shared" si="1"/>
        <v>100.1</v>
      </c>
      <c r="M31" s="147">
        <f t="shared" si="1"/>
        <v>100.3</v>
      </c>
      <c r="N31" s="147">
        <f t="shared" si="1"/>
        <v>101.6</v>
      </c>
      <c r="O31" s="147">
        <f t="shared" si="1"/>
        <v>104.4</v>
      </c>
      <c r="P31" s="147">
        <f t="shared" si="1"/>
        <v>106.7</v>
      </c>
      <c r="Q31" s="147">
        <f t="shared" si="1"/>
        <v>108.44988</v>
      </c>
      <c r="R31" s="147">
        <f t="shared" si="1"/>
        <v>108.44988</v>
      </c>
      <c r="S31" s="147">
        <f t="shared" si="1"/>
        <v>108.44988</v>
      </c>
      <c r="T31" s="147">
        <f t="shared" si="1"/>
        <v>108.44988</v>
      </c>
      <c r="U31" s="147">
        <f t="shared" si="1"/>
        <v>108.44988</v>
      </c>
    </row>
    <row r="32" spans="5:21" ht="12.75" hidden="1" outlineLevel="2">
      <c r="E32" t="s">
        <v>287</v>
      </c>
      <c r="G32" t="s">
        <v>167</v>
      </c>
      <c r="I32" s="131"/>
      <c r="J32" s="147">
        <f t="shared" si="1"/>
        <v>97</v>
      </c>
      <c r="K32" s="147">
        <f t="shared" si="1"/>
        <v>98.8</v>
      </c>
      <c r="L32" s="147">
        <f t="shared" si="1"/>
        <v>99.9</v>
      </c>
      <c r="M32" s="147">
        <f t="shared" si="1"/>
        <v>100.3</v>
      </c>
      <c r="N32" s="147">
        <f t="shared" si="1"/>
        <v>101.8</v>
      </c>
      <c r="O32" s="147">
        <f t="shared" si="1"/>
        <v>104.7</v>
      </c>
      <c r="P32" s="147">
        <f t="shared" si="1"/>
        <v>106.9</v>
      </c>
      <c r="Q32" s="147">
        <f t="shared" si="1"/>
        <v>108.65316</v>
      </c>
      <c r="R32" s="147">
        <f t="shared" si="1"/>
        <v>108.65316</v>
      </c>
      <c r="S32" s="147">
        <f t="shared" si="1"/>
        <v>108.65316</v>
      </c>
      <c r="T32" s="147">
        <f t="shared" si="1"/>
        <v>108.65316</v>
      </c>
      <c r="U32" s="147">
        <f t="shared" si="1"/>
        <v>108.65316</v>
      </c>
    </row>
    <row r="33" spans="5:21" ht="12.75" hidden="1" outlineLevel="2">
      <c r="E33" t="s">
        <v>288</v>
      </c>
      <c r="G33" t="s">
        <v>167</v>
      </c>
      <c r="I33" s="131"/>
      <c r="J33" s="147">
        <f t="shared" si="1"/>
        <v>97.3</v>
      </c>
      <c r="K33" s="147">
        <f t="shared" si="1"/>
        <v>99.2</v>
      </c>
      <c r="L33" s="147">
        <f t="shared" si="1"/>
        <v>99.9</v>
      </c>
      <c r="M33" s="147">
        <f t="shared" si="1"/>
        <v>100.4</v>
      </c>
      <c r="N33" s="147">
        <f t="shared" si="1"/>
        <v>102.2</v>
      </c>
      <c r="O33" s="147">
        <f t="shared" si="1"/>
        <v>105</v>
      </c>
      <c r="P33" s="147">
        <f t="shared" si="1"/>
        <v>107.1</v>
      </c>
      <c r="Q33" s="147">
        <f t="shared" si="1"/>
        <v>108.95283</v>
      </c>
      <c r="R33" s="147">
        <f t="shared" si="1"/>
        <v>108.95283</v>
      </c>
      <c r="S33" s="147">
        <f t="shared" si="1"/>
        <v>108.95283</v>
      </c>
      <c r="T33" s="147">
        <f t="shared" si="1"/>
        <v>108.95283</v>
      </c>
      <c r="U33" s="147">
        <f t="shared" si="1"/>
        <v>108.95283</v>
      </c>
    </row>
    <row r="34" spans="5:21" ht="12.75" hidden="1" outlineLevel="2">
      <c r="E34" t="s">
        <v>289</v>
      </c>
      <c r="G34" t="s">
        <v>167</v>
      </c>
      <c r="I34" s="131"/>
      <c r="J34" s="147">
        <f t="shared" si="1"/>
        <v>97</v>
      </c>
      <c r="K34" s="147">
        <f t="shared" si="1"/>
        <v>98.7</v>
      </c>
      <c r="L34" s="147">
        <f t="shared" si="1"/>
        <v>99.2</v>
      </c>
      <c r="M34" s="147">
        <f t="shared" si="1"/>
        <v>99.9</v>
      </c>
      <c r="N34" s="147">
        <f t="shared" si="1"/>
        <v>101.8</v>
      </c>
      <c r="O34" s="147">
        <f t="shared" si="1"/>
        <v>104.5</v>
      </c>
      <c r="P34" s="147">
        <f t="shared" si="1"/>
        <v>106.4</v>
      </c>
      <c r="Q34" s="147">
        <f t="shared" si="1"/>
        <v>108.69824000000001</v>
      </c>
      <c r="R34" s="147">
        <f t="shared" si="1"/>
        <v>108.69824000000001</v>
      </c>
      <c r="S34" s="147">
        <f t="shared" si="1"/>
        <v>108.69824000000001</v>
      </c>
      <c r="T34" s="147">
        <f t="shared" si="1"/>
        <v>108.69824000000001</v>
      </c>
      <c r="U34" s="147">
        <f t="shared" si="1"/>
        <v>108.69824000000001</v>
      </c>
    </row>
    <row r="35" spans="5:21" ht="12.75" hidden="1" outlineLevel="2">
      <c r="E35" t="s">
        <v>290</v>
      </c>
      <c r="G35" t="s">
        <v>167</v>
      </c>
      <c r="I35" s="131"/>
      <c r="J35" s="147">
        <f t="shared" si="1"/>
        <v>97.5</v>
      </c>
      <c r="K35" s="147">
        <f t="shared" si="1"/>
        <v>99.1</v>
      </c>
      <c r="L35" s="147">
        <f t="shared" si="1"/>
        <v>99.5</v>
      </c>
      <c r="M35" s="147">
        <f t="shared" si="1"/>
        <v>100.1</v>
      </c>
      <c r="N35" s="147">
        <f t="shared" si="1"/>
        <v>102.4</v>
      </c>
      <c r="O35" s="147">
        <f t="shared" si="1"/>
        <v>104.9</v>
      </c>
      <c r="P35" s="147">
        <f t="shared" si="1"/>
        <v>106.8</v>
      </c>
      <c r="Q35" s="147">
        <f t="shared" si="1"/>
        <v>108.88260000000001</v>
      </c>
      <c r="R35" s="147">
        <f t="shared" si="1"/>
        <v>108.88260000000001</v>
      </c>
      <c r="S35" s="147">
        <f t="shared" si="1"/>
        <v>108.88260000000001</v>
      </c>
      <c r="T35" s="147">
        <f t="shared" si="1"/>
        <v>108.88260000000001</v>
      </c>
      <c r="U35" s="147">
        <f t="shared" si="1"/>
        <v>108.88260000000001</v>
      </c>
    </row>
    <row r="36" spans="5:21" ht="12.75" hidden="1" outlineLevel="2">
      <c r="E36" t="s">
        <v>291</v>
      </c>
      <c r="G36" t="s">
        <v>167</v>
      </c>
      <c r="I36" s="131"/>
      <c r="J36" s="147">
        <f t="shared" si="1"/>
        <v>97.8</v>
      </c>
      <c r="K36" s="147">
        <f t="shared" si="1"/>
        <v>99.3</v>
      </c>
      <c r="L36" s="147">
        <f t="shared" si="1"/>
        <v>99.6</v>
      </c>
      <c r="M36" s="147">
        <f t="shared" si="1"/>
        <v>100.4</v>
      </c>
      <c r="N36" s="147">
        <f t="shared" si="1"/>
        <v>102.7</v>
      </c>
      <c r="O36" s="147">
        <f t="shared" si="1"/>
        <v>105.1</v>
      </c>
      <c r="P36" s="147">
        <f t="shared" si="1"/>
        <v>107.02332999999999</v>
      </c>
      <c r="Q36" s="147">
        <f t="shared" si="1"/>
        <v>109.088880269</v>
      </c>
      <c r="R36" s="147">
        <f t="shared" si="1"/>
        <v>109.088880269</v>
      </c>
      <c r="S36" s="147">
        <f t="shared" si="1"/>
        <v>109.088880269</v>
      </c>
      <c r="T36" s="147">
        <f t="shared" si="1"/>
        <v>109.088880269</v>
      </c>
      <c r="U36" s="147">
        <f t="shared" si="1"/>
        <v>109.088880269</v>
      </c>
    </row>
    <row r="37" ht="4.5" customHeight="1" hidden="1" outlineLevel="1"/>
    <row r="38" spans="5:21" ht="12.75" hidden="1" outlineLevel="1">
      <c r="E38" s="147" t="s">
        <v>292</v>
      </c>
      <c r="F38" s="147"/>
      <c r="G38" s="147" t="s">
        <v>167</v>
      </c>
      <c r="H38" s="147"/>
      <c r="I38" s="147"/>
      <c r="J38" s="147">
        <f aca="true" t="shared" si="2" ref="J38:U38">AVERAGE(J25:J36)</f>
        <v>96.58333333333331</v>
      </c>
      <c r="K38" s="147">
        <f t="shared" si="2"/>
        <v>98.60000000000001</v>
      </c>
      <c r="L38" s="147">
        <f t="shared" si="2"/>
        <v>99.72499999999998</v>
      </c>
      <c r="M38" s="147">
        <f t="shared" si="2"/>
        <v>100.16666666666667</v>
      </c>
      <c r="N38" s="147">
        <f t="shared" si="2"/>
        <v>101.54166666666667</v>
      </c>
      <c r="O38" s="147">
        <f t="shared" si="2"/>
        <v>104.21666666666665</v>
      </c>
      <c r="P38" s="147">
        <f t="shared" si="2"/>
        <v>106.4352775</v>
      </c>
      <c r="Q38" s="147">
        <f t="shared" si="2"/>
        <v>108.41376502241665</v>
      </c>
      <c r="R38" s="147">
        <f t="shared" si="2"/>
        <v>108.41376502241665</v>
      </c>
      <c r="S38" s="147">
        <f t="shared" si="2"/>
        <v>108.41376502241665</v>
      </c>
      <c r="T38" s="147">
        <f t="shared" si="2"/>
        <v>108.41376502241665</v>
      </c>
      <c r="U38" s="147">
        <f t="shared" si="2"/>
        <v>108.41376502241665</v>
      </c>
    </row>
    <row r="39" spans="10:21" ht="12.75" hidden="1" outlineLevel="1">
      <c r="J39" s="177"/>
      <c r="K39" s="177"/>
      <c r="L39" s="177"/>
      <c r="M39" s="177"/>
      <c r="N39" s="177"/>
      <c r="O39" s="177"/>
      <c r="P39" s="177"/>
      <c r="Q39" s="177"/>
      <c r="R39" s="177"/>
      <c r="S39" s="177"/>
      <c r="T39" s="177"/>
      <c r="U39" s="177"/>
    </row>
    <row r="41" spans="1:21" ht="12.75" customHeight="1" collapsed="1">
      <c r="A41" s="43" t="s">
        <v>181</v>
      </c>
      <c r="B41" s="43"/>
      <c r="C41" s="44"/>
      <c r="D41" s="43"/>
      <c r="E41" s="43"/>
      <c r="F41" s="43"/>
      <c r="G41" s="43"/>
      <c r="H41" s="43"/>
      <c r="I41" s="43"/>
      <c r="J41" s="43"/>
      <c r="K41" s="43"/>
      <c r="L41" s="43"/>
      <c r="M41" s="43"/>
      <c r="N41" s="43"/>
      <c r="O41" s="43"/>
      <c r="P41" s="43"/>
      <c r="Q41" s="43"/>
      <c r="R41" s="43"/>
      <c r="S41" s="43"/>
      <c r="T41" s="43"/>
      <c r="U41" s="43"/>
    </row>
    <row r="42" ht="12.75" hidden="1" outlineLevel="1"/>
    <row r="43" ht="12.75" hidden="1" outlineLevel="1">
      <c r="B43" s="35" t="s">
        <v>293</v>
      </c>
    </row>
    <row r="44" spans="1:21" s="159" customFormat="1" ht="12.75" hidden="1" outlineLevel="1">
      <c r="A44" s="157"/>
      <c r="B44" s="157"/>
      <c r="C44" s="158"/>
      <c r="D44" s="153"/>
      <c r="E44" s="177" t="str">
        <f>Inputs!E$52</f>
        <v>Retail Price Index for April</v>
      </c>
      <c r="F44" s="177">
        <f>Inputs!F$52</f>
        <v>0</v>
      </c>
      <c r="G44" s="177" t="str">
        <f>Inputs!G$52</f>
        <v>index</v>
      </c>
      <c r="H44" s="177">
        <f>Inputs!H$52</f>
        <v>0</v>
      </c>
      <c r="I44" s="177">
        <f>Inputs!I$52</f>
        <v>0</v>
      </c>
      <c r="J44" s="177">
        <f>Inputs!J$52</f>
        <v>242.5</v>
      </c>
      <c r="K44" s="177">
        <f>Inputs!K$52</f>
        <v>249.5</v>
      </c>
      <c r="L44" s="177">
        <f>Inputs!L$52</f>
        <v>255.7</v>
      </c>
      <c r="M44" s="177">
        <f>Inputs!M$52</f>
        <v>258</v>
      </c>
      <c r="N44" s="177">
        <f>Inputs!N$52</f>
        <v>261.4</v>
      </c>
      <c r="O44" s="177">
        <f>Inputs!O$52</f>
        <v>270.6</v>
      </c>
      <c r="P44" s="177">
        <f>Inputs!P$52</f>
        <v>279.7</v>
      </c>
      <c r="Q44" s="177">
        <f>Inputs!Q$52</f>
        <v>287.6</v>
      </c>
      <c r="R44" s="177">
        <f>Inputs!R$52</f>
        <v>0</v>
      </c>
      <c r="S44" s="177">
        <f>Inputs!S$52</f>
        <v>0</v>
      </c>
      <c r="T44" s="177">
        <f>Inputs!T$52</f>
        <v>0</v>
      </c>
      <c r="U44" s="177">
        <f>Inputs!U$52</f>
        <v>0</v>
      </c>
    </row>
    <row r="45" spans="1:21" s="159" customFormat="1" ht="12.75" hidden="1" outlineLevel="2">
      <c r="A45" s="157"/>
      <c r="B45" s="157"/>
      <c r="C45" s="158"/>
      <c r="D45" s="153"/>
      <c r="E45" s="177" t="str">
        <f>Inputs!E$53</f>
        <v>Retail Price Index for May</v>
      </c>
      <c r="F45" s="177">
        <f>Inputs!F$53</f>
        <v>0</v>
      </c>
      <c r="G45" s="177" t="str">
        <f>Inputs!G$53</f>
        <v>index</v>
      </c>
      <c r="H45" s="177">
        <f>Inputs!H$53</f>
        <v>0</v>
      </c>
      <c r="I45" s="177">
        <f>Inputs!I$53</f>
        <v>0</v>
      </c>
      <c r="J45" s="177">
        <f>Inputs!J$53</f>
        <v>242.4</v>
      </c>
      <c r="K45" s="177">
        <f>Inputs!K$53</f>
        <v>250</v>
      </c>
      <c r="L45" s="177">
        <f>Inputs!L$53</f>
        <v>255.9</v>
      </c>
      <c r="M45" s="177">
        <f>Inputs!M$53</f>
        <v>258.5</v>
      </c>
      <c r="N45" s="177">
        <f>Inputs!N$53</f>
        <v>262.1</v>
      </c>
      <c r="O45" s="177">
        <f>Inputs!O$53</f>
        <v>271.7</v>
      </c>
      <c r="P45" s="177">
        <f>Inputs!P$53</f>
        <v>280.7</v>
      </c>
      <c r="Q45" s="177">
        <f>Inputs!Q$53</f>
        <v>288.3</v>
      </c>
      <c r="R45" s="177">
        <f>Inputs!R$53</f>
        <v>0</v>
      </c>
      <c r="S45" s="177">
        <f>Inputs!S$53</f>
        <v>0</v>
      </c>
      <c r="T45" s="177">
        <f>Inputs!T$53</f>
        <v>0</v>
      </c>
      <c r="U45" s="177">
        <f>Inputs!U$53</f>
        <v>0</v>
      </c>
    </row>
    <row r="46" spans="1:21" s="159" customFormat="1" ht="12.75" hidden="1" outlineLevel="2">
      <c r="A46" s="157"/>
      <c r="B46" s="157"/>
      <c r="C46" s="158"/>
      <c r="D46" s="153"/>
      <c r="E46" s="177" t="str">
        <f>Inputs!E$54</f>
        <v>Retail Price Index for June</v>
      </c>
      <c r="F46" s="177">
        <f>Inputs!F$54</f>
        <v>0</v>
      </c>
      <c r="G46" s="177" t="str">
        <f>Inputs!G$54</f>
        <v>index</v>
      </c>
      <c r="H46" s="177">
        <f>Inputs!H$54</f>
        <v>0</v>
      </c>
      <c r="I46" s="177">
        <f>Inputs!I$54</f>
        <v>0</v>
      </c>
      <c r="J46" s="177">
        <f>Inputs!J$54</f>
        <v>241.8</v>
      </c>
      <c r="K46" s="177">
        <f>Inputs!K$54</f>
        <v>249.7</v>
      </c>
      <c r="L46" s="177">
        <f>Inputs!L$54</f>
        <v>256.3</v>
      </c>
      <c r="M46" s="177">
        <f>Inputs!M$54</f>
        <v>258.9</v>
      </c>
      <c r="N46" s="177">
        <f>Inputs!N$54</f>
        <v>263.1</v>
      </c>
      <c r="O46" s="177">
        <f>Inputs!O$54</f>
        <v>272.3</v>
      </c>
      <c r="P46" s="177">
        <f>Inputs!P$54</f>
        <v>281.5</v>
      </c>
      <c r="Q46" s="177">
        <f>Inputs!Q$54</f>
        <v>289.1</v>
      </c>
      <c r="R46" s="177">
        <f>Inputs!R$54</f>
        <v>0</v>
      </c>
      <c r="S46" s="177">
        <f>Inputs!S$54</f>
        <v>0</v>
      </c>
      <c r="T46" s="177">
        <f>Inputs!T$54</f>
        <v>0</v>
      </c>
      <c r="U46" s="177">
        <f>Inputs!U$54</f>
        <v>0</v>
      </c>
    </row>
    <row r="47" spans="1:21" s="159" customFormat="1" ht="12.75" hidden="1" outlineLevel="2">
      <c r="A47" s="157"/>
      <c r="B47" s="157"/>
      <c r="C47" s="158"/>
      <c r="D47" s="153"/>
      <c r="E47" s="177" t="str">
        <f>Inputs!E$55</f>
        <v>Retail Price Index for July</v>
      </c>
      <c r="F47" s="177">
        <f>Inputs!F$55</f>
        <v>0</v>
      </c>
      <c r="G47" s="177" t="str">
        <f>Inputs!G$55</f>
        <v>index</v>
      </c>
      <c r="H47" s="177">
        <f>Inputs!H$55</f>
        <v>0</v>
      </c>
      <c r="I47" s="177">
        <f>Inputs!I$55</f>
        <v>0</v>
      </c>
      <c r="J47" s="177">
        <f>Inputs!J$55</f>
        <v>242.1</v>
      </c>
      <c r="K47" s="177">
        <f>Inputs!K$55</f>
        <v>249.7</v>
      </c>
      <c r="L47" s="177">
        <f>Inputs!L$55</f>
        <v>256</v>
      </c>
      <c r="M47" s="177">
        <f>Inputs!M$55</f>
        <v>258.6</v>
      </c>
      <c r="N47" s="177">
        <f>Inputs!N$55</f>
        <v>263.4</v>
      </c>
      <c r="O47" s="177">
        <f>Inputs!O$55</f>
        <v>272.9</v>
      </c>
      <c r="P47" s="177">
        <f>Inputs!P$55</f>
        <v>281.7</v>
      </c>
      <c r="Q47" s="177">
        <f>Inputs!Q$55</f>
        <v>289.2</v>
      </c>
      <c r="R47" s="177">
        <f>Inputs!R$55</f>
        <v>0</v>
      </c>
      <c r="S47" s="177">
        <f>Inputs!S$55</f>
        <v>0</v>
      </c>
      <c r="T47" s="177">
        <f>Inputs!T$55</f>
        <v>0</v>
      </c>
      <c r="U47" s="177">
        <f>Inputs!U$55</f>
        <v>0</v>
      </c>
    </row>
    <row r="48" spans="1:21" s="159" customFormat="1" ht="12.75" hidden="1" outlineLevel="2">
      <c r="A48" s="157"/>
      <c r="B48" s="157"/>
      <c r="C48" s="158"/>
      <c r="D48" s="153"/>
      <c r="E48" s="177" t="str">
        <f>Inputs!E$56</f>
        <v>Retail Price Index for August</v>
      </c>
      <c r="F48" s="177">
        <f>Inputs!F$56</f>
        <v>0</v>
      </c>
      <c r="G48" s="177" t="str">
        <f>Inputs!G$56</f>
        <v>index</v>
      </c>
      <c r="H48" s="177">
        <f>Inputs!H$56</f>
        <v>0</v>
      </c>
      <c r="I48" s="177">
        <f>Inputs!I$56</f>
        <v>0</v>
      </c>
      <c r="J48" s="177">
        <f>Inputs!J$56</f>
        <v>243</v>
      </c>
      <c r="K48" s="177">
        <f>Inputs!K$56</f>
        <v>251</v>
      </c>
      <c r="L48" s="177">
        <f>Inputs!L$56</f>
        <v>257</v>
      </c>
      <c r="M48" s="177">
        <f>Inputs!M$56</f>
        <v>259.8</v>
      </c>
      <c r="N48" s="177">
        <f>Inputs!N$56</f>
        <v>264.4</v>
      </c>
      <c r="O48" s="177">
        <f>Inputs!O$56</f>
        <v>274.7</v>
      </c>
      <c r="P48" s="177">
        <f>Inputs!P$56</f>
        <v>284.2</v>
      </c>
      <c r="Q48" s="177">
        <f>Inputs!Q$56</f>
        <v>291.3</v>
      </c>
      <c r="R48" s="177">
        <f>Inputs!R$56</f>
        <v>0</v>
      </c>
      <c r="S48" s="177">
        <f>Inputs!S$56</f>
        <v>0</v>
      </c>
      <c r="T48" s="177">
        <f>Inputs!T$56</f>
        <v>0</v>
      </c>
      <c r="U48" s="177">
        <f>Inputs!U$56</f>
        <v>0</v>
      </c>
    </row>
    <row r="49" spans="1:21" s="159" customFormat="1" ht="12.75" hidden="1" outlineLevel="2">
      <c r="A49" s="157"/>
      <c r="B49" s="157"/>
      <c r="C49" s="158"/>
      <c r="D49" s="153"/>
      <c r="E49" s="177" t="str">
        <f>Inputs!E$57</f>
        <v>Retail Price Index for September</v>
      </c>
      <c r="F49" s="177">
        <f>Inputs!F$57</f>
        <v>0</v>
      </c>
      <c r="G49" s="177" t="str">
        <f>Inputs!G$57</f>
        <v>index</v>
      </c>
      <c r="H49" s="177">
        <f>Inputs!H$57</f>
        <v>0</v>
      </c>
      <c r="I49" s="177">
        <f>Inputs!I$57</f>
        <v>0</v>
      </c>
      <c r="J49" s="177">
        <f>Inputs!J$57</f>
        <v>244.2</v>
      </c>
      <c r="K49" s="177">
        <f>Inputs!K$57</f>
        <v>251.9</v>
      </c>
      <c r="L49" s="177">
        <f>Inputs!L$57</f>
        <v>257.6</v>
      </c>
      <c r="M49" s="177">
        <f>Inputs!M$57</f>
        <v>259.6</v>
      </c>
      <c r="N49" s="177">
        <f>Inputs!N$57</f>
        <v>264.9</v>
      </c>
      <c r="O49" s="177">
        <f>Inputs!O$57</f>
        <v>275.1</v>
      </c>
      <c r="P49" s="177">
        <f>Inputs!P$57</f>
        <v>284.1</v>
      </c>
      <c r="Q49" s="177">
        <f>Inputs!Q$57</f>
        <v>291.2</v>
      </c>
      <c r="R49" s="177">
        <f>Inputs!R$57</f>
        <v>0</v>
      </c>
      <c r="S49" s="177">
        <f>Inputs!S$57</f>
        <v>0</v>
      </c>
      <c r="T49" s="177">
        <f>Inputs!T$57</f>
        <v>0</v>
      </c>
      <c r="U49" s="177">
        <f>Inputs!U$57</f>
        <v>0</v>
      </c>
    </row>
    <row r="50" spans="1:21" s="159" customFormat="1" ht="12.75" hidden="1" outlineLevel="2">
      <c r="A50" s="157"/>
      <c r="B50" s="157"/>
      <c r="C50" s="158"/>
      <c r="D50" s="153"/>
      <c r="E50" s="177" t="str">
        <f>Inputs!E$58</f>
        <v>Retail Price Index for October</v>
      </c>
      <c r="F50" s="177">
        <f>Inputs!F$58</f>
        <v>0</v>
      </c>
      <c r="G50" s="177" t="str">
        <f>Inputs!G$58</f>
        <v>index</v>
      </c>
      <c r="H50" s="177">
        <f>Inputs!H$58</f>
        <v>0</v>
      </c>
      <c r="I50" s="177">
        <f>Inputs!I$58</f>
        <v>0</v>
      </c>
      <c r="J50" s="177">
        <f>Inputs!J$58</f>
        <v>245.6</v>
      </c>
      <c r="K50" s="177">
        <f>Inputs!K$58</f>
        <v>251.9</v>
      </c>
      <c r="L50" s="177">
        <f>Inputs!L$58</f>
        <v>257.7</v>
      </c>
      <c r="M50" s="177">
        <f>Inputs!M$58</f>
        <v>259.5</v>
      </c>
      <c r="N50" s="177">
        <f>Inputs!N$58</f>
        <v>264.8</v>
      </c>
      <c r="O50" s="177">
        <f>Inputs!O$58</f>
        <v>275.3</v>
      </c>
      <c r="P50" s="177">
        <f>Inputs!P$58</f>
        <v>284.5</v>
      </c>
      <c r="Q50" s="177">
        <f>Inputs!Q$58</f>
        <v>291.1</v>
      </c>
      <c r="R50" s="177">
        <f>Inputs!R$58</f>
        <v>0</v>
      </c>
      <c r="S50" s="177">
        <f>Inputs!S$58</f>
        <v>0</v>
      </c>
      <c r="T50" s="177">
        <f>Inputs!T$58</f>
        <v>0</v>
      </c>
      <c r="U50" s="177">
        <f>Inputs!U$58</f>
        <v>0</v>
      </c>
    </row>
    <row r="51" spans="1:21" s="159" customFormat="1" ht="12.75" hidden="1" outlineLevel="2">
      <c r="A51" s="157"/>
      <c r="B51" s="157"/>
      <c r="C51" s="158"/>
      <c r="D51" s="153"/>
      <c r="E51" s="177" t="str">
        <f>Inputs!E$59</f>
        <v>Retail Price Index for November</v>
      </c>
      <c r="F51" s="177">
        <f>Inputs!F$59</f>
        <v>0</v>
      </c>
      <c r="G51" s="177" t="str">
        <f>Inputs!G$59</f>
        <v>index</v>
      </c>
      <c r="H51" s="177">
        <f>Inputs!H$59</f>
        <v>0</v>
      </c>
      <c r="I51" s="177">
        <f>Inputs!I$59</f>
        <v>0</v>
      </c>
      <c r="J51" s="177">
        <f>Inputs!J$59</f>
        <v>245.6</v>
      </c>
      <c r="K51" s="177">
        <f>Inputs!K$59</f>
        <v>252.1</v>
      </c>
      <c r="L51" s="177">
        <f>Inputs!L$59</f>
        <v>257.1</v>
      </c>
      <c r="M51" s="177">
        <f>Inputs!M$59</f>
        <v>259.8</v>
      </c>
      <c r="N51" s="177">
        <f>Inputs!N$59</f>
        <v>265.5</v>
      </c>
      <c r="O51" s="177">
        <f>Inputs!O$59</f>
        <v>275.8</v>
      </c>
      <c r="P51" s="177">
        <f>Inputs!P$59</f>
        <v>284.6</v>
      </c>
      <c r="Q51" s="177">
        <f>Inputs!Q$59</f>
        <v>291.2</v>
      </c>
      <c r="R51" s="177">
        <f>Inputs!R$59</f>
        <v>0</v>
      </c>
      <c r="S51" s="177">
        <f>Inputs!S$59</f>
        <v>0</v>
      </c>
      <c r="T51" s="177">
        <f>Inputs!T$59</f>
        <v>0</v>
      </c>
      <c r="U51" s="177">
        <f>Inputs!U$59</f>
        <v>0</v>
      </c>
    </row>
    <row r="52" spans="1:21" s="159" customFormat="1" ht="12.75" hidden="1" outlineLevel="2">
      <c r="A52" s="157"/>
      <c r="B52" s="157"/>
      <c r="C52" s="158"/>
      <c r="D52" s="153"/>
      <c r="E52" s="177" t="str">
        <f>Inputs!E$60</f>
        <v>Retail Price Index for December</v>
      </c>
      <c r="F52" s="177">
        <f>Inputs!F$60</f>
        <v>0</v>
      </c>
      <c r="G52" s="177" t="str">
        <f>Inputs!G$60</f>
        <v>index</v>
      </c>
      <c r="H52" s="177">
        <f>Inputs!H$60</f>
        <v>0</v>
      </c>
      <c r="I52" s="177">
        <f>Inputs!I$60</f>
        <v>0</v>
      </c>
      <c r="J52" s="177">
        <f>Inputs!J$60</f>
        <v>246.8</v>
      </c>
      <c r="K52" s="177">
        <f>Inputs!K$60</f>
        <v>253.4</v>
      </c>
      <c r="L52" s="177">
        <f>Inputs!L$60</f>
        <v>257.5</v>
      </c>
      <c r="M52" s="177">
        <f>Inputs!M$60</f>
        <v>260.6</v>
      </c>
      <c r="N52" s="177">
        <f>Inputs!N$60</f>
        <v>267.1</v>
      </c>
      <c r="O52" s="177">
        <f>Inputs!O$60</f>
        <v>278.1</v>
      </c>
      <c r="P52" s="177">
        <f>Inputs!P$60</f>
        <v>285.6</v>
      </c>
      <c r="Q52" s="177">
        <f>Inputs!Q$60</f>
        <v>292.8</v>
      </c>
      <c r="R52" s="177">
        <f>Inputs!R$60</f>
        <v>0</v>
      </c>
      <c r="S52" s="177">
        <f>Inputs!S$60</f>
        <v>0</v>
      </c>
      <c r="T52" s="177">
        <f>Inputs!T$60</f>
        <v>0</v>
      </c>
      <c r="U52" s="177">
        <f>Inputs!U$60</f>
        <v>0</v>
      </c>
    </row>
    <row r="53" spans="1:21" s="159" customFormat="1" ht="12.75" hidden="1" outlineLevel="2">
      <c r="A53" s="157"/>
      <c r="B53" s="157"/>
      <c r="C53" s="158"/>
      <c r="D53" s="153"/>
      <c r="E53" s="177" t="str">
        <f>Inputs!E$61</f>
        <v>Retail Price Index for January</v>
      </c>
      <c r="F53" s="177">
        <f>Inputs!F$61</f>
        <v>0</v>
      </c>
      <c r="G53" s="177" t="str">
        <f>Inputs!G$61</f>
        <v>index</v>
      </c>
      <c r="H53" s="177">
        <f>Inputs!H$61</f>
        <v>0</v>
      </c>
      <c r="I53" s="177">
        <f>Inputs!I$61</f>
        <v>0</v>
      </c>
      <c r="J53" s="177">
        <f>Inputs!J$61</f>
        <v>245.8</v>
      </c>
      <c r="K53" s="177">
        <f>Inputs!K$61</f>
        <v>252.6</v>
      </c>
      <c r="L53" s="177">
        <f>Inputs!L$61</f>
        <v>255.4</v>
      </c>
      <c r="M53" s="177">
        <f>Inputs!M$61</f>
        <v>258.8</v>
      </c>
      <c r="N53" s="177">
        <f>Inputs!N$61</f>
        <v>265.5</v>
      </c>
      <c r="O53" s="177">
        <f>Inputs!O$61</f>
        <v>276</v>
      </c>
      <c r="P53" s="177">
        <f>Inputs!P$61</f>
        <v>283</v>
      </c>
      <c r="Q53" s="177">
        <f>Inputs!Q$61</f>
        <v>290.7</v>
      </c>
      <c r="R53" s="177">
        <f>Inputs!R$61</f>
        <v>0</v>
      </c>
      <c r="S53" s="177">
        <f>Inputs!S$61</f>
        <v>0</v>
      </c>
      <c r="T53" s="177">
        <f>Inputs!T$61</f>
        <v>0</v>
      </c>
      <c r="U53" s="177">
        <f>Inputs!U$61</f>
        <v>0</v>
      </c>
    </row>
    <row r="54" spans="1:21" s="159" customFormat="1" ht="12.75" hidden="1" outlineLevel="2">
      <c r="A54" s="157"/>
      <c r="B54" s="157"/>
      <c r="C54" s="158"/>
      <c r="D54" s="153"/>
      <c r="E54" s="177" t="str">
        <f>Inputs!E$62</f>
        <v>Retail Price Index for February</v>
      </c>
      <c r="F54" s="177">
        <f>Inputs!F$62</f>
        <v>0</v>
      </c>
      <c r="G54" s="177" t="str">
        <f>Inputs!G$62</f>
        <v>index</v>
      </c>
      <c r="H54" s="177">
        <f>Inputs!H$62</f>
        <v>0</v>
      </c>
      <c r="I54" s="177">
        <f>Inputs!I$62</f>
        <v>0</v>
      </c>
      <c r="J54" s="177">
        <f>Inputs!J$62</f>
        <v>247.6</v>
      </c>
      <c r="K54" s="177">
        <f>Inputs!K$62</f>
        <v>254.2</v>
      </c>
      <c r="L54" s="177">
        <f>Inputs!L$62</f>
        <v>256.7</v>
      </c>
      <c r="M54" s="177">
        <f>Inputs!M$62</f>
        <v>260</v>
      </c>
      <c r="N54" s="177">
        <f>Inputs!N$62</f>
        <v>268.4</v>
      </c>
      <c r="O54" s="177">
        <f>Inputs!O$62</f>
        <v>278.1</v>
      </c>
      <c r="P54" s="177">
        <f>Inputs!P$62</f>
        <v>285</v>
      </c>
      <c r="Q54" s="177">
        <f>Inputs!Q$62</f>
        <v>292.8</v>
      </c>
      <c r="R54" s="177">
        <f>Inputs!R$62</f>
        <v>0</v>
      </c>
      <c r="S54" s="177">
        <f>Inputs!S$62</f>
        <v>0</v>
      </c>
      <c r="T54" s="177">
        <f>Inputs!T$62</f>
        <v>0</v>
      </c>
      <c r="U54" s="177">
        <f>Inputs!U$62</f>
        <v>0</v>
      </c>
    </row>
    <row r="55" spans="1:21" s="159" customFormat="1" ht="12.75" hidden="1" outlineLevel="2">
      <c r="A55" s="157"/>
      <c r="B55" s="157"/>
      <c r="C55" s="158"/>
      <c r="D55" s="153"/>
      <c r="E55" s="177" t="str">
        <f>Inputs!E$63</f>
        <v>Retail Price Index for March</v>
      </c>
      <c r="F55" s="177">
        <f>Inputs!F$63</f>
        <v>0</v>
      </c>
      <c r="G55" s="177" t="str">
        <f>Inputs!G$63</f>
        <v>index</v>
      </c>
      <c r="H55" s="177">
        <f>Inputs!H$63</f>
        <v>0</v>
      </c>
      <c r="I55" s="177">
        <f>Inputs!I$63</f>
        <v>0</v>
      </c>
      <c r="J55" s="177">
        <f>Inputs!J$63</f>
        <v>248.7</v>
      </c>
      <c r="K55" s="177">
        <f>Inputs!K$63</f>
        <v>254.8</v>
      </c>
      <c r="L55" s="177">
        <f>Inputs!L$63</f>
        <v>257.1</v>
      </c>
      <c r="M55" s="177">
        <f>Inputs!M$63</f>
        <v>261.1</v>
      </c>
      <c r="N55" s="177">
        <f>Inputs!N$63</f>
        <v>269.3</v>
      </c>
      <c r="O55" s="177">
        <f>Inputs!O$63</f>
        <v>278.3</v>
      </c>
      <c r="P55" s="177">
        <f>Inputs!P$63</f>
        <v>285.1</v>
      </c>
      <c r="Q55" s="177">
        <f>Inputs!Q$63</f>
        <v>293.2</v>
      </c>
      <c r="R55" s="177">
        <f>Inputs!R$63</f>
        <v>0</v>
      </c>
      <c r="S55" s="177">
        <f>Inputs!S$63</f>
        <v>0</v>
      </c>
      <c r="T55" s="177">
        <f>Inputs!T$63</f>
        <v>0</v>
      </c>
      <c r="U55" s="177">
        <f>Inputs!U$63</f>
        <v>0</v>
      </c>
    </row>
    <row r="56" ht="4.5" customHeight="1" hidden="1" outlineLevel="1"/>
    <row r="57" spans="1:21" s="149" customFormat="1" ht="12.75" hidden="1" outlineLevel="1">
      <c r="A57" s="163"/>
      <c r="B57" s="163"/>
      <c r="C57" s="164"/>
      <c r="D57" s="165"/>
      <c r="E57" s="148" t="str">
        <f>Inputs!E$65</f>
        <v>RPI: Assumed percentage increase for unpopulated monthly values</v>
      </c>
      <c r="F57" s="148">
        <f>Inputs!F$65</f>
        <v>0</v>
      </c>
      <c r="G57" s="148" t="str">
        <f>Inputs!G$65</f>
        <v>%</v>
      </c>
      <c r="H57" s="148">
        <f>Inputs!H$65</f>
        <v>0</v>
      </c>
      <c r="I57" s="148">
        <f>Inputs!I$65</f>
        <v>0</v>
      </c>
      <c r="J57" s="148">
        <f>Inputs!J$65</f>
        <v>0</v>
      </c>
      <c r="K57" s="148">
        <f>Inputs!K$65</f>
        <v>0</v>
      </c>
      <c r="L57" s="148">
        <f>Inputs!L$65</f>
        <v>0</v>
      </c>
      <c r="M57" s="148">
        <f>Inputs!M$65</f>
        <v>0</v>
      </c>
      <c r="N57" s="148">
        <f>Inputs!N$65</f>
        <v>0</v>
      </c>
      <c r="O57" s="148">
        <f>Inputs!O$65</f>
        <v>0</v>
      </c>
      <c r="P57" s="148">
        <f>Inputs!P$65</f>
        <v>0</v>
      </c>
      <c r="Q57" s="148">
        <f>Inputs!Q$65</f>
        <v>0</v>
      </c>
      <c r="R57" s="148">
        <f>Inputs!R$65</f>
        <v>0</v>
      </c>
      <c r="S57" s="148">
        <f>Inputs!S$65</f>
        <v>0</v>
      </c>
      <c r="T57" s="148">
        <f>Inputs!T$65</f>
        <v>0</v>
      </c>
      <c r="U57" s="148">
        <f>Inputs!U$65</f>
        <v>0</v>
      </c>
    </row>
    <row r="58" ht="4.5" customHeight="1" hidden="1" outlineLevel="1"/>
    <row r="59" spans="5:21" ht="12.75" hidden="1" outlineLevel="1">
      <c r="E59" t="s">
        <v>294</v>
      </c>
      <c r="G59" t="s">
        <v>167</v>
      </c>
      <c r="I59" s="131"/>
      <c r="J59" s="147">
        <f>IF(J44&gt;0,J44,I59*(1+J$57))</f>
        <v>242.5</v>
      </c>
      <c r="K59" s="147">
        <f aca="true" t="shared" si="3" ref="K59:U59">IF(K44&gt;0,K44,J59*(1+K$57))</f>
        <v>249.5</v>
      </c>
      <c r="L59" s="147">
        <f t="shared" si="3"/>
        <v>255.7</v>
      </c>
      <c r="M59" s="147">
        <f t="shared" si="3"/>
        <v>258</v>
      </c>
      <c r="N59" s="147">
        <f t="shared" si="3"/>
        <v>261.4</v>
      </c>
      <c r="O59" s="147">
        <f t="shared" si="3"/>
        <v>270.6</v>
      </c>
      <c r="P59" s="147">
        <f t="shared" si="3"/>
        <v>279.7</v>
      </c>
      <c r="Q59" s="147">
        <f t="shared" si="3"/>
        <v>287.6</v>
      </c>
      <c r="R59" s="147">
        <f t="shared" si="3"/>
        <v>287.6</v>
      </c>
      <c r="S59" s="147">
        <f t="shared" si="3"/>
        <v>287.6</v>
      </c>
      <c r="T59" s="147">
        <f t="shared" si="3"/>
        <v>287.6</v>
      </c>
      <c r="U59" s="147">
        <f t="shared" si="3"/>
        <v>287.6</v>
      </c>
    </row>
    <row r="60" spans="5:21" ht="12.75" hidden="1" outlineLevel="2">
      <c r="E60" t="s">
        <v>295</v>
      </c>
      <c r="G60" t="s">
        <v>167</v>
      </c>
      <c r="I60" s="131"/>
      <c r="J60" s="147">
        <f aca="true" t="shared" si="4" ref="J60:U60">IF(J45&gt;0,J45,I60*(1+J$57))</f>
        <v>242.4</v>
      </c>
      <c r="K60" s="147">
        <f t="shared" si="4"/>
        <v>250</v>
      </c>
      <c r="L60" s="147">
        <f t="shared" si="4"/>
        <v>255.9</v>
      </c>
      <c r="M60" s="147">
        <f t="shared" si="4"/>
        <v>258.5</v>
      </c>
      <c r="N60" s="147">
        <f t="shared" si="4"/>
        <v>262.1</v>
      </c>
      <c r="O60" s="147">
        <f t="shared" si="4"/>
        <v>271.7</v>
      </c>
      <c r="P60" s="147">
        <f t="shared" si="4"/>
        <v>280.7</v>
      </c>
      <c r="Q60" s="147">
        <f t="shared" si="4"/>
        <v>288.3</v>
      </c>
      <c r="R60" s="147">
        <f t="shared" si="4"/>
        <v>288.3</v>
      </c>
      <c r="S60" s="147">
        <f t="shared" si="4"/>
        <v>288.3</v>
      </c>
      <c r="T60" s="147">
        <f t="shared" si="4"/>
        <v>288.3</v>
      </c>
      <c r="U60" s="147">
        <f t="shared" si="4"/>
        <v>288.3</v>
      </c>
    </row>
    <row r="61" spans="5:21" ht="12.75" hidden="1" outlineLevel="2">
      <c r="E61" t="s">
        <v>296</v>
      </c>
      <c r="G61" t="s">
        <v>167</v>
      </c>
      <c r="I61" s="131"/>
      <c r="J61" s="147">
        <f aca="true" t="shared" si="5" ref="J61:U61">IF(J46&gt;0,J46,I61*(1+J$57))</f>
        <v>241.8</v>
      </c>
      <c r="K61" s="147">
        <f t="shared" si="5"/>
        <v>249.7</v>
      </c>
      <c r="L61" s="147">
        <f t="shared" si="5"/>
        <v>256.3</v>
      </c>
      <c r="M61" s="147">
        <f t="shared" si="5"/>
        <v>258.9</v>
      </c>
      <c r="N61" s="147">
        <f t="shared" si="5"/>
        <v>263.1</v>
      </c>
      <c r="O61" s="147">
        <f t="shared" si="5"/>
        <v>272.3</v>
      </c>
      <c r="P61" s="147">
        <f t="shared" si="5"/>
        <v>281.5</v>
      </c>
      <c r="Q61" s="147">
        <f t="shared" si="5"/>
        <v>289.1</v>
      </c>
      <c r="R61" s="147">
        <f t="shared" si="5"/>
        <v>289.1</v>
      </c>
      <c r="S61" s="147">
        <f t="shared" si="5"/>
        <v>289.1</v>
      </c>
      <c r="T61" s="147">
        <f t="shared" si="5"/>
        <v>289.1</v>
      </c>
      <c r="U61" s="147">
        <f t="shared" si="5"/>
        <v>289.1</v>
      </c>
    </row>
    <row r="62" spans="5:21" ht="12.75" hidden="1" outlineLevel="2">
      <c r="E62" t="s">
        <v>297</v>
      </c>
      <c r="G62" t="s">
        <v>167</v>
      </c>
      <c r="I62" s="131"/>
      <c r="J62" s="147">
        <f aca="true" t="shared" si="6" ref="J62:U62">IF(J47&gt;0,J47,I62*(1+J$57))</f>
        <v>242.1</v>
      </c>
      <c r="K62" s="147">
        <f t="shared" si="6"/>
        <v>249.7</v>
      </c>
      <c r="L62" s="147">
        <f t="shared" si="6"/>
        <v>256</v>
      </c>
      <c r="M62" s="147">
        <f t="shared" si="6"/>
        <v>258.6</v>
      </c>
      <c r="N62" s="147">
        <f t="shared" si="6"/>
        <v>263.4</v>
      </c>
      <c r="O62" s="147">
        <f t="shared" si="6"/>
        <v>272.9</v>
      </c>
      <c r="P62" s="147">
        <f t="shared" si="6"/>
        <v>281.7</v>
      </c>
      <c r="Q62" s="147">
        <f t="shared" si="6"/>
        <v>289.2</v>
      </c>
      <c r="R62" s="147">
        <f t="shared" si="6"/>
        <v>289.2</v>
      </c>
      <c r="S62" s="147">
        <f t="shared" si="6"/>
        <v>289.2</v>
      </c>
      <c r="T62" s="147">
        <f t="shared" si="6"/>
        <v>289.2</v>
      </c>
      <c r="U62" s="147">
        <f t="shared" si="6"/>
        <v>289.2</v>
      </c>
    </row>
    <row r="63" spans="5:21" ht="12.75" hidden="1" outlineLevel="2">
      <c r="E63" t="s">
        <v>298</v>
      </c>
      <c r="G63" t="s">
        <v>167</v>
      </c>
      <c r="I63" s="131"/>
      <c r="J63" s="147">
        <f aca="true" t="shared" si="7" ref="J63:U63">IF(J48&gt;0,J48,I63*(1+J$57))</f>
        <v>243</v>
      </c>
      <c r="K63" s="147">
        <f t="shared" si="7"/>
        <v>251</v>
      </c>
      <c r="L63" s="147">
        <f t="shared" si="7"/>
        <v>257</v>
      </c>
      <c r="M63" s="147">
        <f t="shared" si="7"/>
        <v>259.8</v>
      </c>
      <c r="N63" s="147">
        <f t="shared" si="7"/>
        <v>264.4</v>
      </c>
      <c r="O63" s="147">
        <f t="shared" si="7"/>
        <v>274.7</v>
      </c>
      <c r="P63" s="147">
        <f t="shared" si="7"/>
        <v>284.2</v>
      </c>
      <c r="Q63" s="147">
        <f t="shared" si="7"/>
        <v>291.3</v>
      </c>
      <c r="R63" s="147">
        <f t="shared" si="7"/>
        <v>291.3</v>
      </c>
      <c r="S63" s="147">
        <f t="shared" si="7"/>
        <v>291.3</v>
      </c>
      <c r="T63" s="147">
        <f t="shared" si="7"/>
        <v>291.3</v>
      </c>
      <c r="U63" s="147">
        <f t="shared" si="7"/>
        <v>291.3</v>
      </c>
    </row>
    <row r="64" spans="5:21" ht="12.75" hidden="1" outlineLevel="2">
      <c r="E64" t="s">
        <v>299</v>
      </c>
      <c r="G64" t="s">
        <v>167</v>
      </c>
      <c r="I64" s="131"/>
      <c r="J64" s="147">
        <f aca="true" t="shared" si="8" ref="J64:U64">IF(J49&gt;0,J49,I64*(1+J$57))</f>
        <v>244.2</v>
      </c>
      <c r="K64" s="147">
        <f t="shared" si="8"/>
        <v>251.9</v>
      </c>
      <c r="L64" s="147">
        <f t="shared" si="8"/>
        <v>257.6</v>
      </c>
      <c r="M64" s="147">
        <f t="shared" si="8"/>
        <v>259.6</v>
      </c>
      <c r="N64" s="147">
        <f t="shared" si="8"/>
        <v>264.9</v>
      </c>
      <c r="O64" s="147">
        <f t="shared" si="8"/>
        <v>275.1</v>
      </c>
      <c r="P64" s="147">
        <f t="shared" si="8"/>
        <v>284.1</v>
      </c>
      <c r="Q64" s="147">
        <f t="shared" si="8"/>
        <v>291.2</v>
      </c>
      <c r="R64" s="147">
        <f t="shared" si="8"/>
        <v>291.2</v>
      </c>
      <c r="S64" s="147">
        <f t="shared" si="8"/>
        <v>291.2</v>
      </c>
      <c r="T64" s="147">
        <f t="shared" si="8"/>
        <v>291.2</v>
      </c>
      <c r="U64" s="147">
        <f t="shared" si="8"/>
        <v>291.2</v>
      </c>
    </row>
    <row r="65" spans="5:21" ht="12.75" hidden="1" outlineLevel="2">
      <c r="E65" t="s">
        <v>300</v>
      </c>
      <c r="G65" t="s">
        <v>167</v>
      </c>
      <c r="I65" s="131"/>
      <c r="J65" s="147">
        <f aca="true" t="shared" si="9" ref="J65:U65">IF(J50&gt;0,J50,I65*(1+J$57))</f>
        <v>245.6</v>
      </c>
      <c r="K65" s="147">
        <f t="shared" si="9"/>
        <v>251.9</v>
      </c>
      <c r="L65" s="147">
        <f t="shared" si="9"/>
        <v>257.7</v>
      </c>
      <c r="M65" s="147">
        <f t="shared" si="9"/>
        <v>259.5</v>
      </c>
      <c r="N65" s="147">
        <f t="shared" si="9"/>
        <v>264.8</v>
      </c>
      <c r="O65" s="147">
        <f t="shared" si="9"/>
        <v>275.3</v>
      </c>
      <c r="P65" s="147">
        <f t="shared" si="9"/>
        <v>284.5</v>
      </c>
      <c r="Q65" s="147">
        <f t="shared" si="9"/>
        <v>291.1</v>
      </c>
      <c r="R65" s="147">
        <f t="shared" si="9"/>
        <v>291.1</v>
      </c>
      <c r="S65" s="147">
        <f t="shared" si="9"/>
        <v>291.1</v>
      </c>
      <c r="T65" s="147">
        <f t="shared" si="9"/>
        <v>291.1</v>
      </c>
      <c r="U65" s="147">
        <f t="shared" si="9"/>
        <v>291.1</v>
      </c>
    </row>
    <row r="66" spans="5:21" ht="12.75" hidden="1" outlineLevel="2">
      <c r="E66" t="s">
        <v>301</v>
      </c>
      <c r="G66" t="s">
        <v>167</v>
      </c>
      <c r="I66" s="131"/>
      <c r="J66" s="147">
        <f aca="true" t="shared" si="10" ref="J66:U66">IF(J51&gt;0,J51,I66*(1+J$57))</f>
        <v>245.6</v>
      </c>
      <c r="K66" s="147">
        <f t="shared" si="10"/>
        <v>252.1</v>
      </c>
      <c r="L66" s="147">
        <f t="shared" si="10"/>
        <v>257.1</v>
      </c>
      <c r="M66" s="147">
        <f t="shared" si="10"/>
        <v>259.8</v>
      </c>
      <c r="N66" s="147">
        <f t="shared" si="10"/>
        <v>265.5</v>
      </c>
      <c r="O66" s="147">
        <f t="shared" si="10"/>
        <v>275.8</v>
      </c>
      <c r="P66" s="147">
        <f t="shared" si="10"/>
        <v>284.6</v>
      </c>
      <c r="Q66" s="147">
        <f t="shared" si="10"/>
        <v>291.2</v>
      </c>
      <c r="R66" s="147">
        <f t="shared" si="10"/>
        <v>291.2</v>
      </c>
      <c r="S66" s="147">
        <f t="shared" si="10"/>
        <v>291.2</v>
      </c>
      <c r="T66" s="147">
        <f t="shared" si="10"/>
        <v>291.2</v>
      </c>
      <c r="U66" s="147">
        <f t="shared" si="10"/>
        <v>291.2</v>
      </c>
    </row>
    <row r="67" spans="5:21" ht="12.75" hidden="1" outlineLevel="2">
      <c r="E67" t="s">
        <v>302</v>
      </c>
      <c r="G67" t="s">
        <v>167</v>
      </c>
      <c r="I67" s="131"/>
      <c r="J67" s="147">
        <f aca="true" t="shared" si="11" ref="J67:U67">IF(J52&gt;0,J52,I67*(1+J$57))</f>
        <v>246.8</v>
      </c>
      <c r="K67" s="147">
        <f t="shared" si="11"/>
        <v>253.4</v>
      </c>
      <c r="L67" s="147">
        <f t="shared" si="11"/>
        <v>257.5</v>
      </c>
      <c r="M67" s="147">
        <f t="shared" si="11"/>
        <v>260.6</v>
      </c>
      <c r="N67" s="147">
        <f t="shared" si="11"/>
        <v>267.1</v>
      </c>
      <c r="O67" s="147">
        <f t="shared" si="11"/>
        <v>278.1</v>
      </c>
      <c r="P67" s="147">
        <f t="shared" si="11"/>
        <v>285.6</v>
      </c>
      <c r="Q67" s="147">
        <f t="shared" si="11"/>
        <v>292.8</v>
      </c>
      <c r="R67" s="147">
        <f t="shared" si="11"/>
        <v>292.8</v>
      </c>
      <c r="S67" s="147">
        <f t="shared" si="11"/>
        <v>292.8</v>
      </c>
      <c r="T67" s="147">
        <f t="shared" si="11"/>
        <v>292.8</v>
      </c>
      <c r="U67" s="147">
        <f t="shared" si="11"/>
        <v>292.8</v>
      </c>
    </row>
    <row r="68" spans="5:21" ht="12.75" hidden="1" outlineLevel="2">
      <c r="E68" t="s">
        <v>303</v>
      </c>
      <c r="G68" t="s">
        <v>167</v>
      </c>
      <c r="I68" s="131"/>
      <c r="J68" s="147">
        <f aca="true" t="shared" si="12" ref="J68:U68">IF(J53&gt;0,J53,I68*(1+J$57))</f>
        <v>245.8</v>
      </c>
      <c r="K68" s="147">
        <f t="shared" si="12"/>
        <v>252.6</v>
      </c>
      <c r="L68" s="147">
        <f t="shared" si="12"/>
        <v>255.4</v>
      </c>
      <c r="M68" s="147">
        <f t="shared" si="12"/>
        <v>258.8</v>
      </c>
      <c r="N68" s="147">
        <f t="shared" si="12"/>
        <v>265.5</v>
      </c>
      <c r="O68" s="147">
        <f t="shared" si="12"/>
        <v>276</v>
      </c>
      <c r="P68" s="147">
        <f t="shared" si="12"/>
        <v>283</v>
      </c>
      <c r="Q68" s="147">
        <f t="shared" si="12"/>
        <v>290.7</v>
      </c>
      <c r="R68" s="147">
        <f t="shared" si="12"/>
        <v>290.7</v>
      </c>
      <c r="S68" s="147">
        <f t="shared" si="12"/>
        <v>290.7</v>
      </c>
      <c r="T68" s="147">
        <f t="shared" si="12"/>
        <v>290.7</v>
      </c>
      <c r="U68" s="147">
        <f t="shared" si="12"/>
        <v>290.7</v>
      </c>
    </row>
    <row r="69" spans="5:21" ht="12.75" hidden="1" outlineLevel="2">
      <c r="E69" t="s">
        <v>304</v>
      </c>
      <c r="G69" t="s">
        <v>167</v>
      </c>
      <c r="I69" s="131"/>
      <c r="J69" s="147">
        <f aca="true" t="shared" si="13" ref="J69:U69">IF(J54&gt;0,J54,I69*(1+J$57))</f>
        <v>247.6</v>
      </c>
      <c r="K69" s="147">
        <f t="shared" si="13"/>
        <v>254.2</v>
      </c>
      <c r="L69" s="147">
        <f t="shared" si="13"/>
        <v>256.7</v>
      </c>
      <c r="M69" s="147">
        <f t="shared" si="13"/>
        <v>260</v>
      </c>
      <c r="N69" s="147">
        <f t="shared" si="13"/>
        <v>268.4</v>
      </c>
      <c r="O69" s="147">
        <f t="shared" si="13"/>
        <v>278.1</v>
      </c>
      <c r="P69" s="147">
        <f t="shared" si="13"/>
        <v>285</v>
      </c>
      <c r="Q69" s="147">
        <f t="shared" si="13"/>
        <v>292.8</v>
      </c>
      <c r="R69" s="147">
        <f t="shared" si="13"/>
        <v>292.8</v>
      </c>
      <c r="S69" s="147">
        <f t="shared" si="13"/>
        <v>292.8</v>
      </c>
      <c r="T69" s="147">
        <f t="shared" si="13"/>
        <v>292.8</v>
      </c>
      <c r="U69" s="147">
        <f t="shared" si="13"/>
        <v>292.8</v>
      </c>
    </row>
    <row r="70" spans="5:21" ht="12.75" hidden="1" outlineLevel="2">
      <c r="E70" t="s">
        <v>305</v>
      </c>
      <c r="G70" t="s">
        <v>167</v>
      </c>
      <c r="I70" s="131"/>
      <c r="J70" s="147">
        <f aca="true" t="shared" si="14" ref="J70:U70">IF(J55&gt;0,J55,I70*(1+J$57))</f>
        <v>248.7</v>
      </c>
      <c r="K70" s="147">
        <f t="shared" si="14"/>
        <v>254.8</v>
      </c>
      <c r="L70" s="147">
        <f t="shared" si="14"/>
        <v>257.1</v>
      </c>
      <c r="M70" s="147">
        <f t="shared" si="14"/>
        <v>261.1</v>
      </c>
      <c r="N70" s="147">
        <f t="shared" si="14"/>
        <v>269.3</v>
      </c>
      <c r="O70" s="147">
        <f t="shared" si="14"/>
        <v>278.3</v>
      </c>
      <c r="P70" s="147">
        <f t="shared" si="14"/>
        <v>285.1</v>
      </c>
      <c r="Q70" s="147">
        <f t="shared" si="14"/>
        <v>293.2</v>
      </c>
      <c r="R70" s="147">
        <f t="shared" si="14"/>
        <v>293.2</v>
      </c>
      <c r="S70" s="147">
        <f t="shared" si="14"/>
        <v>293.2</v>
      </c>
      <c r="T70" s="147">
        <f t="shared" si="14"/>
        <v>293.2</v>
      </c>
      <c r="U70" s="147">
        <f t="shared" si="14"/>
        <v>293.2</v>
      </c>
    </row>
    <row r="71" ht="4.5" customHeight="1" hidden="1" outlineLevel="1"/>
    <row r="72" spans="5:21" ht="12.75" hidden="1" outlineLevel="1">
      <c r="E72" s="147" t="s">
        <v>306</v>
      </c>
      <c r="F72" s="147"/>
      <c r="G72" s="147" t="s">
        <v>167</v>
      </c>
      <c r="H72" s="147"/>
      <c r="I72" s="147"/>
      <c r="J72" s="147">
        <f aca="true" t="shared" si="15" ref="J72:U72">AVERAGE(J59:J70)</f>
        <v>244.67499999999998</v>
      </c>
      <c r="K72" s="147">
        <f t="shared" si="15"/>
        <v>251.73333333333335</v>
      </c>
      <c r="L72" s="147">
        <f t="shared" si="15"/>
        <v>256.6666666666667</v>
      </c>
      <c r="M72" s="147">
        <f t="shared" si="15"/>
        <v>259.43333333333334</v>
      </c>
      <c r="N72" s="147">
        <f t="shared" si="15"/>
        <v>264.99166666666673</v>
      </c>
      <c r="O72" s="147">
        <f t="shared" si="15"/>
        <v>274.90833333333336</v>
      </c>
      <c r="P72" s="147">
        <f t="shared" si="15"/>
        <v>283.30833333333334</v>
      </c>
      <c r="Q72" s="147">
        <f t="shared" si="15"/>
        <v>290.7083333333333</v>
      </c>
      <c r="R72" s="147">
        <f t="shared" si="15"/>
        <v>290.7083333333333</v>
      </c>
      <c r="S72" s="147">
        <f t="shared" si="15"/>
        <v>290.7083333333333</v>
      </c>
      <c r="T72" s="147">
        <f t="shared" si="15"/>
        <v>290.7083333333333</v>
      </c>
      <c r="U72" s="147">
        <f t="shared" si="15"/>
        <v>290.7083333333333</v>
      </c>
    </row>
    <row r="73" spans="10:21" ht="12.75" hidden="1" outlineLevel="1">
      <c r="J73" s="177"/>
      <c r="K73" s="177"/>
      <c r="L73" s="177"/>
      <c r="M73" s="177"/>
      <c r="N73" s="177"/>
      <c r="O73" s="177"/>
      <c r="P73" s="177"/>
      <c r="Q73" s="177"/>
      <c r="R73" s="177"/>
      <c r="S73" s="177"/>
      <c r="T73" s="177"/>
      <c r="U73" s="177"/>
    </row>
    <row r="75" spans="1:21" ht="12.75" customHeight="1" collapsed="1">
      <c r="A75" s="43" t="s">
        <v>307</v>
      </c>
      <c r="B75" s="43"/>
      <c r="C75" s="44"/>
      <c r="D75" s="43"/>
      <c r="E75" s="43"/>
      <c r="F75" s="43"/>
      <c r="G75" s="43"/>
      <c r="H75" s="43"/>
      <c r="I75" s="43"/>
      <c r="J75" s="43"/>
      <c r="K75" s="43"/>
      <c r="L75" s="43"/>
      <c r="M75" s="43"/>
      <c r="N75" s="43"/>
      <c r="O75" s="43"/>
      <c r="P75" s="43"/>
      <c r="Q75" s="43"/>
      <c r="R75" s="43"/>
      <c r="S75" s="43"/>
      <c r="T75" s="43"/>
      <c r="U75" s="43"/>
    </row>
    <row r="76" ht="12.75" hidden="1" outlineLevel="1"/>
    <row r="77" ht="12.75" hidden="1" outlineLevel="1">
      <c r="B77" s="35" t="s">
        <v>308</v>
      </c>
    </row>
    <row r="78" spans="1:7" s="140" customFormat="1" ht="12.75" hidden="1" outlineLevel="1">
      <c r="A78" s="175"/>
      <c r="B78" s="175"/>
      <c r="C78" s="176"/>
      <c r="D78" s="18"/>
      <c r="E78" s="174" t="str">
        <f>Inputs!E$69</f>
        <v>Year reference for FYA base price 1</v>
      </c>
      <c r="F78" s="174">
        <f>Inputs!F$69</f>
        <v>2013</v>
      </c>
      <c r="G78" s="174" t="str">
        <f>Inputs!G$69</f>
        <v>year #</v>
      </c>
    </row>
    <row r="79" spans="5:7" ht="12.75" hidden="1" outlineLevel="1">
      <c r="E79" s="174" t="str">
        <f>Inputs!E$72</f>
        <v>Year reference for FYE end price</v>
      </c>
      <c r="F79" s="174">
        <f>Inputs!F$72</f>
        <v>2020</v>
      </c>
      <c r="G79" s="174" t="str">
        <f>Inputs!G$72</f>
        <v>year #</v>
      </c>
    </row>
    <row r="80" spans="1:21" s="159" customFormat="1" ht="12.75" hidden="1" outlineLevel="1">
      <c r="A80" s="157"/>
      <c r="B80" s="157"/>
      <c r="C80" s="158"/>
      <c r="D80" s="153"/>
      <c r="E80" s="39" t="str">
        <f aca="true" t="shared" si="16" ref="E80:U80">E$72</f>
        <v>RPI: Financial year average - index</v>
      </c>
      <c r="F80" s="39">
        <f t="shared" si="16"/>
        <v>0</v>
      </c>
      <c r="G80" s="39" t="str">
        <f t="shared" si="16"/>
        <v>index</v>
      </c>
      <c r="H80" s="39">
        <f t="shared" si="16"/>
        <v>0</v>
      </c>
      <c r="I80" s="39">
        <f t="shared" si="16"/>
        <v>0</v>
      </c>
      <c r="J80" s="39">
        <f t="shared" si="16"/>
        <v>244.67499999999998</v>
      </c>
      <c r="K80" s="39">
        <f t="shared" si="16"/>
        <v>251.73333333333335</v>
      </c>
      <c r="L80" s="39">
        <f t="shared" si="16"/>
        <v>256.6666666666667</v>
      </c>
      <c r="M80" s="39">
        <f t="shared" si="16"/>
        <v>259.43333333333334</v>
      </c>
      <c r="N80" s="39">
        <f t="shared" si="16"/>
        <v>264.99166666666673</v>
      </c>
      <c r="O80" s="39">
        <f t="shared" si="16"/>
        <v>274.90833333333336</v>
      </c>
      <c r="P80" s="39">
        <f t="shared" si="16"/>
        <v>283.30833333333334</v>
      </c>
      <c r="Q80" s="39">
        <f t="shared" si="16"/>
        <v>290.7083333333333</v>
      </c>
      <c r="R80" s="39">
        <f t="shared" si="16"/>
        <v>290.7083333333333</v>
      </c>
      <c r="S80" s="39">
        <f t="shared" si="16"/>
        <v>290.7083333333333</v>
      </c>
      <c r="T80" s="39">
        <f t="shared" si="16"/>
        <v>290.7083333333333</v>
      </c>
      <c r="U80" s="39">
        <f t="shared" si="16"/>
        <v>290.7083333333333</v>
      </c>
    </row>
    <row r="81" spans="1:21" s="159" customFormat="1" ht="12.75" hidden="1" outlineLevel="1">
      <c r="A81" s="157"/>
      <c r="B81" s="157"/>
      <c r="C81" s="158"/>
      <c r="D81" s="153"/>
      <c r="E81" s="39" t="str">
        <f aca="true" t="shared" si="17" ref="E81:U81">E$70</f>
        <v>RPI: March - index</v>
      </c>
      <c r="F81" s="39">
        <f t="shared" si="17"/>
        <v>0</v>
      </c>
      <c r="G81" s="39" t="str">
        <f t="shared" si="17"/>
        <v>index</v>
      </c>
      <c r="H81" s="39">
        <f t="shared" si="17"/>
        <v>0</v>
      </c>
      <c r="I81" s="39">
        <f t="shared" si="17"/>
        <v>0</v>
      </c>
      <c r="J81" s="39">
        <f t="shared" si="17"/>
        <v>248.7</v>
      </c>
      <c r="K81" s="39">
        <f t="shared" si="17"/>
        <v>254.8</v>
      </c>
      <c r="L81" s="39">
        <f t="shared" si="17"/>
        <v>257.1</v>
      </c>
      <c r="M81" s="39">
        <f t="shared" si="17"/>
        <v>261.1</v>
      </c>
      <c r="N81" s="39">
        <f t="shared" si="17"/>
        <v>269.3</v>
      </c>
      <c r="O81" s="39">
        <f t="shared" si="17"/>
        <v>278.3</v>
      </c>
      <c r="P81" s="39">
        <f t="shared" si="17"/>
        <v>285.1</v>
      </c>
      <c r="Q81" s="39">
        <f t="shared" si="17"/>
        <v>293.2</v>
      </c>
      <c r="R81" s="39">
        <f t="shared" si="17"/>
        <v>293.2</v>
      </c>
      <c r="S81" s="39">
        <f t="shared" si="17"/>
        <v>293.2</v>
      </c>
      <c r="T81" s="39">
        <f t="shared" si="17"/>
        <v>293.2</v>
      </c>
      <c r="U81" s="39">
        <f t="shared" si="17"/>
        <v>293.2</v>
      </c>
    </row>
    <row r="82" spans="1:21" s="190" customFormat="1" ht="12.75" hidden="1" outlineLevel="1">
      <c r="A82" s="187"/>
      <c r="B82" s="187"/>
      <c r="C82" s="188"/>
      <c r="D82" s="189"/>
      <c r="E82" s="189" t="str">
        <f>"RPI inflate from "&amp;F78&amp;" FYA to "&amp;F79&amp;" FYE"</f>
        <v>RPI inflate from 2013 FYA to 2020 FYE</v>
      </c>
      <c r="F82" s="189">
        <f>INDEX($J81:$U81,1,MATCH($F79,$J$4:$U$4))/INDEX($J80:$U80,1,MATCH($F78,$J$4:$U$4))</f>
        <v>1.1983243077551855</v>
      </c>
      <c r="G82" s="189" t="s">
        <v>309</v>
      </c>
      <c r="H82" s="189"/>
      <c r="I82" s="189"/>
      <c r="J82" s="189"/>
      <c r="K82" s="189"/>
      <c r="L82" s="189"/>
      <c r="M82" s="189"/>
      <c r="N82" s="189"/>
      <c r="O82" s="189"/>
      <c r="P82" s="189"/>
      <c r="Q82" s="189"/>
      <c r="R82" s="189"/>
      <c r="S82" s="189"/>
      <c r="T82" s="189"/>
      <c r="U82" s="189"/>
    </row>
    <row r="83" spans="1:21" s="190" customFormat="1" ht="12.75" hidden="1" outlineLevel="1">
      <c r="A83" s="187"/>
      <c r="B83" s="187"/>
      <c r="C83" s="188"/>
      <c r="D83" s="189"/>
      <c r="E83" s="189"/>
      <c r="F83" s="189"/>
      <c r="G83" s="189"/>
      <c r="H83" s="189"/>
      <c r="I83" s="189"/>
      <c r="J83" s="189"/>
      <c r="K83" s="189"/>
      <c r="L83" s="189"/>
      <c r="M83" s="189"/>
      <c r="N83" s="189"/>
      <c r="O83" s="189"/>
      <c r="P83" s="189"/>
      <c r="Q83" s="189"/>
      <c r="R83" s="189"/>
      <c r="S83" s="189"/>
      <c r="T83" s="189"/>
      <c r="U83" s="189"/>
    </row>
    <row r="84" ht="12.75" hidden="1" outlineLevel="1">
      <c r="B84" s="35" t="s">
        <v>310</v>
      </c>
    </row>
    <row r="85" spans="1:7" s="140" customFormat="1" ht="12.75" hidden="1" outlineLevel="1">
      <c r="A85" s="175"/>
      <c r="B85" s="175"/>
      <c r="C85" s="176"/>
      <c r="D85" s="18"/>
      <c r="E85" s="174" t="str">
        <f>Inputs!E$70</f>
        <v>Year reference for FYA base price 2</v>
      </c>
      <c r="F85" s="174">
        <f>Inputs!F$70</f>
        <v>2018</v>
      </c>
      <c r="G85" s="174" t="str">
        <f>Inputs!G$70</f>
        <v>year #</v>
      </c>
    </row>
    <row r="86" spans="5:7" ht="12.75" hidden="1" outlineLevel="1">
      <c r="E86" s="174" t="str">
        <f>Inputs!E$72</f>
        <v>Year reference for FYE end price</v>
      </c>
      <c r="F86" s="174">
        <f>Inputs!F$72</f>
        <v>2020</v>
      </c>
      <c r="G86" s="174" t="str">
        <f>Inputs!G$72</f>
        <v>year #</v>
      </c>
    </row>
    <row r="87" spans="1:21" s="159" customFormat="1" ht="12.75" hidden="1" outlineLevel="1">
      <c r="A87" s="157"/>
      <c r="B87" s="157"/>
      <c r="C87" s="158"/>
      <c r="D87" s="153"/>
      <c r="E87" s="39" t="str">
        <f aca="true" t="shared" si="18" ref="E87:U87">E$72</f>
        <v>RPI: Financial year average - index</v>
      </c>
      <c r="F87" s="39">
        <f t="shared" si="18"/>
        <v>0</v>
      </c>
      <c r="G87" s="39" t="str">
        <f t="shared" si="18"/>
        <v>index</v>
      </c>
      <c r="H87" s="39">
        <f t="shared" si="18"/>
        <v>0</v>
      </c>
      <c r="I87" s="39">
        <f t="shared" si="18"/>
        <v>0</v>
      </c>
      <c r="J87" s="39">
        <f t="shared" si="18"/>
        <v>244.67499999999998</v>
      </c>
      <c r="K87" s="39">
        <f t="shared" si="18"/>
        <v>251.73333333333335</v>
      </c>
      <c r="L87" s="39">
        <f t="shared" si="18"/>
        <v>256.6666666666667</v>
      </c>
      <c r="M87" s="39">
        <f t="shared" si="18"/>
        <v>259.43333333333334</v>
      </c>
      <c r="N87" s="39">
        <f t="shared" si="18"/>
        <v>264.99166666666673</v>
      </c>
      <c r="O87" s="39">
        <f t="shared" si="18"/>
        <v>274.90833333333336</v>
      </c>
      <c r="P87" s="39">
        <f t="shared" si="18"/>
        <v>283.30833333333334</v>
      </c>
      <c r="Q87" s="39">
        <f t="shared" si="18"/>
        <v>290.7083333333333</v>
      </c>
      <c r="R87" s="39">
        <f t="shared" si="18"/>
        <v>290.7083333333333</v>
      </c>
      <c r="S87" s="39">
        <f t="shared" si="18"/>
        <v>290.7083333333333</v>
      </c>
      <c r="T87" s="39">
        <f t="shared" si="18"/>
        <v>290.7083333333333</v>
      </c>
      <c r="U87" s="39">
        <f t="shared" si="18"/>
        <v>290.7083333333333</v>
      </c>
    </row>
    <row r="88" spans="1:21" s="159" customFormat="1" ht="12.75" hidden="1" outlineLevel="1">
      <c r="A88" s="157"/>
      <c r="B88" s="157"/>
      <c r="C88" s="158"/>
      <c r="D88" s="153"/>
      <c r="E88" s="39" t="str">
        <f aca="true" t="shared" si="19" ref="E88:U88">E$70</f>
        <v>RPI: March - index</v>
      </c>
      <c r="F88" s="39">
        <f t="shared" si="19"/>
        <v>0</v>
      </c>
      <c r="G88" s="39" t="str">
        <f t="shared" si="19"/>
        <v>index</v>
      </c>
      <c r="H88" s="39">
        <f t="shared" si="19"/>
        <v>0</v>
      </c>
      <c r="I88" s="39">
        <f t="shared" si="19"/>
        <v>0</v>
      </c>
      <c r="J88" s="39">
        <f t="shared" si="19"/>
        <v>248.7</v>
      </c>
      <c r="K88" s="39">
        <f t="shared" si="19"/>
        <v>254.8</v>
      </c>
      <c r="L88" s="39">
        <f t="shared" si="19"/>
        <v>257.1</v>
      </c>
      <c r="M88" s="39">
        <f t="shared" si="19"/>
        <v>261.1</v>
      </c>
      <c r="N88" s="39">
        <f t="shared" si="19"/>
        <v>269.3</v>
      </c>
      <c r="O88" s="39">
        <f t="shared" si="19"/>
        <v>278.3</v>
      </c>
      <c r="P88" s="39">
        <f t="shared" si="19"/>
        <v>285.1</v>
      </c>
      <c r="Q88" s="39">
        <f t="shared" si="19"/>
        <v>293.2</v>
      </c>
      <c r="R88" s="39">
        <f t="shared" si="19"/>
        <v>293.2</v>
      </c>
      <c r="S88" s="39">
        <f t="shared" si="19"/>
        <v>293.2</v>
      </c>
      <c r="T88" s="39">
        <f t="shared" si="19"/>
        <v>293.2</v>
      </c>
      <c r="U88" s="39">
        <f t="shared" si="19"/>
        <v>293.2</v>
      </c>
    </row>
    <row r="89" spans="1:21" s="190" customFormat="1" ht="12.75" hidden="1" outlineLevel="1">
      <c r="A89" s="187"/>
      <c r="B89" s="187"/>
      <c r="C89" s="188"/>
      <c r="D89" s="189"/>
      <c r="E89" s="189" t="str">
        <f>"RPI inflate from "&amp;F85&amp;" FYA to "&amp;F86&amp;" FYE"</f>
        <v>RPI inflate from 2018 FYA to 2020 FYE</v>
      </c>
      <c r="F89" s="189">
        <f>INDEX($J88:$U88,1,MATCH($F86,$J$4:$U$4))/INDEX($J87:$U87,1,MATCH($F85,$J$4:$U$4))</f>
        <v>1.0665373306253598</v>
      </c>
      <c r="G89" s="189" t="s">
        <v>309</v>
      </c>
      <c r="H89" s="189"/>
      <c r="I89" s="189"/>
      <c r="J89" s="189"/>
      <c r="K89" s="189"/>
      <c r="L89" s="189"/>
      <c r="M89" s="189"/>
      <c r="N89" s="189"/>
      <c r="O89" s="189"/>
      <c r="P89" s="189"/>
      <c r="Q89" s="189"/>
      <c r="R89" s="189"/>
      <c r="S89" s="189"/>
      <c r="T89" s="189"/>
      <c r="U89" s="189"/>
    </row>
    <row r="90" ht="12.75" hidden="1" outlineLevel="1"/>
    <row r="91" ht="12.75" hidden="1" outlineLevel="1">
      <c r="B91" s="35" t="s">
        <v>311</v>
      </c>
    </row>
    <row r="92" spans="1:7" s="140" customFormat="1" ht="12.75" hidden="1" outlineLevel="1">
      <c r="A92" s="175"/>
      <c r="B92" s="175"/>
      <c r="C92" s="176"/>
      <c r="D92" s="18"/>
      <c r="E92" s="174" t="str">
        <f>Inputs!E$71</f>
        <v>Year reference for FYE base price</v>
      </c>
      <c r="F92" s="174">
        <f>Inputs!F$71</f>
        <v>2018</v>
      </c>
      <c r="G92" s="174" t="str">
        <f>Inputs!G$71</f>
        <v>year #</v>
      </c>
    </row>
    <row r="93" spans="5:7" ht="12.75" hidden="1" outlineLevel="1">
      <c r="E93" s="174" t="str">
        <f>Inputs!E$72</f>
        <v>Year reference for FYE end price</v>
      </c>
      <c r="F93" s="174">
        <f>Inputs!F$72</f>
        <v>2020</v>
      </c>
      <c r="G93" s="174" t="str">
        <f>Inputs!G$72</f>
        <v>year #</v>
      </c>
    </row>
    <row r="94" spans="1:21" s="159" customFormat="1" ht="12.75" hidden="1" outlineLevel="1">
      <c r="A94" s="157"/>
      <c r="B94" s="157"/>
      <c r="C94" s="158"/>
      <c r="D94" s="153"/>
      <c r="E94" s="39" t="str">
        <f aca="true" t="shared" si="20" ref="E94:U94">E$70</f>
        <v>RPI: March - index</v>
      </c>
      <c r="F94" s="39">
        <f t="shared" si="20"/>
        <v>0</v>
      </c>
      <c r="G94" s="39" t="str">
        <f t="shared" si="20"/>
        <v>index</v>
      </c>
      <c r="H94" s="39">
        <f t="shared" si="20"/>
        <v>0</v>
      </c>
      <c r="I94" s="39">
        <f t="shared" si="20"/>
        <v>0</v>
      </c>
      <c r="J94" s="39">
        <f t="shared" si="20"/>
        <v>248.7</v>
      </c>
      <c r="K94" s="39">
        <f t="shared" si="20"/>
        <v>254.8</v>
      </c>
      <c r="L94" s="39">
        <f t="shared" si="20"/>
        <v>257.1</v>
      </c>
      <c r="M94" s="39">
        <f t="shared" si="20"/>
        <v>261.1</v>
      </c>
      <c r="N94" s="39">
        <f t="shared" si="20"/>
        <v>269.3</v>
      </c>
      <c r="O94" s="39">
        <f t="shared" si="20"/>
        <v>278.3</v>
      </c>
      <c r="P94" s="39">
        <f t="shared" si="20"/>
        <v>285.1</v>
      </c>
      <c r="Q94" s="39">
        <f t="shared" si="20"/>
        <v>293.2</v>
      </c>
      <c r="R94" s="39">
        <f t="shared" si="20"/>
        <v>293.2</v>
      </c>
      <c r="S94" s="39">
        <f t="shared" si="20"/>
        <v>293.2</v>
      </c>
      <c r="T94" s="39">
        <f t="shared" si="20"/>
        <v>293.2</v>
      </c>
      <c r="U94" s="39">
        <f t="shared" si="20"/>
        <v>293.2</v>
      </c>
    </row>
    <row r="95" spans="1:21" s="190" customFormat="1" ht="12.75" hidden="1" outlineLevel="1">
      <c r="A95" s="187"/>
      <c r="B95" s="187"/>
      <c r="C95" s="188"/>
      <c r="D95" s="189"/>
      <c r="E95" s="189" t="str">
        <f>"RPI inflate from "&amp;F92&amp;" FYE to "&amp;F93&amp;" FYE"</f>
        <v>RPI inflate from 2018 FYE to 2020 FYE</v>
      </c>
      <c r="F95" s="189">
        <f>INDEX($J94:$U94,1,MATCH($F93,$J$4:$U$4))/INDEX($J94:$U94,1,MATCH($F92,$J$4:$U$4))</f>
        <v>1.0535393460294644</v>
      </c>
      <c r="G95" s="189" t="s">
        <v>309</v>
      </c>
      <c r="H95" s="189"/>
      <c r="I95" s="189"/>
      <c r="J95" s="189"/>
      <c r="K95" s="189"/>
      <c r="L95" s="189"/>
      <c r="M95" s="189"/>
      <c r="N95" s="189"/>
      <c r="O95" s="189"/>
      <c r="P95" s="189"/>
      <c r="Q95" s="189"/>
      <c r="R95" s="189"/>
      <c r="S95" s="189"/>
      <c r="T95" s="189"/>
      <c r="U95" s="189"/>
    </row>
    <row r="96" ht="12.75" hidden="1" outlineLevel="1"/>
    <row r="98" spans="1:21" ht="12.75" customHeight="1" collapsed="1">
      <c r="A98" s="43" t="s">
        <v>312</v>
      </c>
      <c r="B98" s="43"/>
      <c r="C98" s="44"/>
      <c r="D98" s="43"/>
      <c r="E98" s="43"/>
      <c r="F98" s="43"/>
      <c r="G98" s="43"/>
      <c r="H98" s="43"/>
      <c r="I98" s="43"/>
      <c r="J98" s="43"/>
      <c r="K98" s="43"/>
      <c r="L98" s="43"/>
      <c r="M98" s="43"/>
      <c r="N98" s="43"/>
      <c r="O98" s="43"/>
      <c r="P98" s="43"/>
      <c r="Q98" s="43"/>
      <c r="R98" s="43"/>
      <c r="S98" s="43"/>
      <c r="T98" s="43"/>
      <c r="U98" s="43"/>
    </row>
    <row r="99" ht="12.75" hidden="1" outlineLevel="1"/>
    <row r="100" spans="5:7" ht="12.75" hidden="1" outlineLevel="1">
      <c r="E100" s="243" t="str">
        <f>Inputs!E$76</f>
        <v>Year reference for FYE base price</v>
      </c>
      <c r="F100" s="243">
        <f>Inputs!F$76</f>
        <v>2020</v>
      </c>
      <c r="G100" s="243" t="str">
        <f>Inputs!G$76</f>
        <v>year #</v>
      </c>
    </row>
    <row r="101" spans="5:7" ht="12.75" hidden="1" outlineLevel="1">
      <c r="E101" s="243" t="str">
        <f>Inputs!E$77</f>
        <v>Year reference for FYA end price</v>
      </c>
      <c r="F101" s="243">
        <f>Inputs!F$77</f>
        <v>2018</v>
      </c>
      <c r="G101" s="243" t="str">
        <f>Inputs!G$77</f>
        <v>year #</v>
      </c>
    </row>
    <row r="102" spans="1:7" s="244" customFormat="1" ht="12.75" hidden="1" outlineLevel="1">
      <c r="A102" s="271"/>
      <c r="B102" s="271"/>
      <c r="C102" s="272"/>
      <c r="D102" s="245"/>
      <c r="E102" s="273" t="str">
        <f>Inputs!E$78</f>
        <v>Year reference for FYE base price - IFRS 16</v>
      </c>
      <c r="F102" s="273">
        <f>Inputs!F$78</f>
        <v>2018</v>
      </c>
      <c r="G102" s="273" t="str">
        <f>Inputs!G$78</f>
        <v>year #</v>
      </c>
    </row>
    <row r="103" spans="1:21" s="159" customFormat="1" ht="12.75" hidden="1" outlineLevel="1">
      <c r="A103" s="157"/>
      <c r="B103" s="157"/>
      <c r="C103" s="158"/>
      <c r="D103" s="153"/>
      <c r="E103" s="39" t="str">
        <f>E$36</f>
        <v>CPIH: March - index</v>
      </c>
      <c r="F103" s="39">
        <f aca="true" t="shared" si="21" ref="F103:U103">F$36</f>
        <v>0</v>
      </c>
      <c r="G103" s="39" t="str">
        <f t="shared" si="21"/>
        <v>index</v>
      </c>
      <c r="H103" s="39">
        <f t="shared" si="21"/>
        <v>0</v>
      </c>
      <c r="I103" s="39">
        <f t="shared" si="21"/>
        <v>0</v>
      </c>
      <c r="J103" s="39">
        <f t="shared" si="21"/>
        <v>97.8</v>
      </c>
      <c r="K103" s="39">
        <f t="shared" si="21"/>
        <v>99.3</v>
      </c>
      <c r="L103" s="39">
        <f t="shared" si="21"/>
        <v>99.6</v>
      </c>
      <c r="M103" s="39">
        <f t="shared" si="21"/>
        <v>100.4</v>
      </c>
      <c r="N103" s="39">
        <f t="shared" si="21"/>
        <v>102.7</v>
      </c>
      <c r="O103" s="39">
        <f t="shared" si="21"/>
        <v>105.1</v>
      </c>
      <c r="P103" s="39">
        <f t="shared" si="21"/>
        <v>107.02332999999999</v>
      </c>
      <c r="Q103" s="39">
        <f t="shared" si="21"/>
        <v>109.088880269</v>
      </c>
      <c r="R103" s="39">
        <f t="shared" si="21"/>
        <v>109.088880269</v>
      </c>
      <c r="S103" s="39">
        <f t="shared" si="21"/>
        <v>109.088880269</v>
      </c>
      <c r="T103" s="39">
        <f t="shared" si="21"/>
        <v>109.088880269</v>
      </c>
      <c r="U103" s="39">
        <f t="shared" si="21"/>
        <v>109.088880269</v>
      </c>
    </row>
    <row r="104" spans="5:21" ht="12.75" hidden="1" outlineLevel="1">
      <c r="E104" s="167" t="str">
        <f aca="true" t="shared" si="22" ref="E104:U104">E$38</f>
        <v>CPIH: Financial year average - index</v>
      </c>
      <c r="F104" s="167">
        <f t="shared" si="22"/>
        <v>0</v>
      </c>
      <c r="G104" s="167" t="str">
        <f t="shared" si="22"/>
        <v>index</v>
      </c>
      <c r="H104" s="167">
        <f t="shared" si="22"/>
        <v>0</v>
      </c>
      <c r="I104" s="167">
        <f t="shared" si="22"/>
        <v>0</v>
      </c>
      <c r="J104" s="167">
        <f t="shared" si="22"/>
        <v>96.58333333333331</v>
      </c>
      <c r="K104" s="167">
        <f t="shared" si="22"/>
        <v>98.60000000000001</v>
      </c>
      <c r="L104" s="167">
        <f t="shared" si="22"/>
        <v>99.72499999999998</v>
      </c>
      <c r="M104" s="167">
        <f t="shared" si="22"/>
        <v>100.16666666666667</v>
      </c>
      <c r="N104" s="167">
        <f t="shared" si="22"/>
        <v>101.54166666666667</v>
      </c>
      <c r="O104" s="167">
        <f t="shared" si="22"/>
        <v>104.21666666666665</v>
      </c>
      <c r="P104" s="167">
        <f t="shared" si="22"/>
        <v>106.4352775</v>
      </c>
      <c r="Q104" s="167">
        <f t="shared" si="22"/>
        <v>108.41376502241665</v>
      </c>
      <c r="R104" s="167">
        <f t="shared" si="22"/>
        <v>108.41376502241665</v>
      </c>
      <c r="S104" s="167">
        <f t="shared" si="22"/>
        <v>108.41376502241665</v>
      </c>
      <c r="T104" s="167">
        <f t="shared" si="22"/>
        <v>108.41376502241665</v>
      </c>
      <c r="U104" s="167">
        <f t="shared" si="22"/>
        <v>108.41376502241665</v>
      </c>
    </row>
    <row r="105" spans="1:21" s="190" customFormat="1" ht="12.75" hidden="1" outlineLevel="1">
      <c r="A105" s="187"/>
      <c r="B105" s="187"/>
      <c r="C105" s="188"/>
      <c r="D105" s="189"/>
      <c r="E105" s="189" t="str">
        <f>"CPIH deflate from "&amp;F100&amp;" FYE to "&amp;F101&amp;" FYA"</f>
        <v>CPIH deflate from 2020 FYE to 2018 FYA</v>
      </c>
      <c r="F105" s="189">
        <f>INDEX($J104:$U104,1,MATCH($F101,$J$4:$U$4))/INDEX($J103:$U103,1,MATCH($F100,$J$4:$U$4))</f>
        <v>0.9553372113608734</v>
      </c>
      <c r="G105" s="189" t="s">
        <v>309</v>
      </c>
      <c r="H105" s="189"/>
      <c r="I105" s="189"/>
      <c r="J105" s="189"/>
      <c r="K105" s="189"/>
      <c r="L105" s="189"/>
      <c r="M105" s="189"/>
      <c r="N105" s="189"/>
      <c r="O105" s="189"/>
      <c r="P105" s="189"/>
      <c r="Q105" s="189"/>
      <c r="R105" s="189"/>
      <c r="S105" s="189"/>
      <c r="T105" s="189"/>
      <c r="U105" s="189"/>
    </row>
    <row r="106" spans="1:21" s="190" customFormat="1" ht="12.75" hidden="1" outlineLevel="1">
      <c r="A106" s="187"/>
      <c r="B106" s="187"/>
      <c r="C106" s="188"/>
      <c r="D106" s="189"/>
      <c r="E106" s="189" t="str">
        <f>"CPIH deflate from "&amp;F100&amp;" FYE to "&amp;F101&amp;" FYE"</f>
        <v>CPIH deflate from 2020 FYE to 2018 FYE</v>
      </c>
      <c r="F106" s="189">
        <f>INDEX($J103:$U103,1,MATCH($F101,$J$4:$U$4))/INDEX($J103:$U103,1,MATCH($F100,$J$4:$U$4))</f>
        <v>0.9634345841742631</v>
      </c>
      <c r="G106" s="189" t="s">
        <v>309</v>
      </c>
      <c r="H106" s="189"/>
      <c r="I106" s="189"/>
      <c r="J106" s="189"/>
      <c r="K106" s="189"/>
      <c r="L106" s="189"/>
      <c r="M106" s="189"/>
      <c r="N106" s="189"/>
      <c r="O106" s="189"/>
      <c r="P106" s="189"/>
      <c r="Q106" s="189"/>
      <c r="R106" s="189"/>
      <c r="S106" s="189"/>
      <c r="T106" s="189"/>
      <c r="U106" s="189"/>
    </row>
    <row r="107" spans="1:21" s="270" customFormat="1" ht="12.75" hidden="1" outlineLevel="1">
      <c r="A107" s="267"/>
      <c r="B107" s="267"/>
      <c r="C107" s="268"/>
      <c r="D107" s="269"/>
      <c r="E107" s="269" t="s">
        <v>313</v>
      </c>
      <c r="F107" s="269">
        <f>INDEX($J104:$U104,1,MATCH($F101,$J$4:$U$4))/INDEX($J103:$U103,1,MATCH($F102,$J$4:$U$4))</f>
        <v>0.9915953060577227</v>
      </c>
      <c r="G107" s="269" t="s">
        <v>309</v>
      </c>
      <c r="H107" s="244"/>
      <c r="I107" s="269"/>
      <c r="J107" s="269"/>
      <c r="K107" s="269"/>
      <c r="L107" s="269"/>
      <c r="M107" s="269"/>
      <c r="N107" s="269"/>
      <c r="O107" s="269"/>
      <c r="P107" s="269"/>
      <c r="Q107" s="269"/>
      <c r="R107" s="269"/>
      <c r="S107" s="269"/>
      <c r="T107" s="269"/>
      <c r="U107" s="269"/>
    </row>
    <row r="108" ht="12.75" hidden="1" outlineLevel="1"/>
  </sheetData>
  <sheetProtection/>
  <conditionalFormatting sqref="F1">
    <cfRule type="expression" priority="2" dxfId="2">
      <formula>$F$1="Notionalised"</formula>
    </cfRule>
  </conditionalFormatting>
  <conditionalFormatting sqref="G1">
    <cfRule type="expression" priority="1" dxfId="2">
      <formula>$F$1="Notionalised"</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48"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sheetPr codeName="Sheet9">
    <outlinePr summaryBelow="0" summaryRight="0"/>
    <pageSetUpPr fitToPage="1"/>
  </sheetPr>
  <dimension ref="A1:U437"/>
  <sheetViews>
    <sheetView showGridLines="0" defaultGridColor="0" zoomScale="80" zoomScaleNormal="80" zoomScalePageLayoutView="0" colorId="22" workbookViewId="0" topLeftCell="A1">
      <pane xSplit="9" ySplit="5" topLeftCell="J6"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2.75" outlineLevelRow="1"/>
  <cols>
    <col min="1" max="1" width="20.7109375" style="35" customWidth="1"/>
    <col min="2" max="2" width="1.28515625" style="35" customWidth="1"/>
    <col min="3" max="3" width="1.28515625" style="34" customWidth="1"/>
    <col min="4" max="4" width="1.28515625" style="4" customWidth="1"/>
    <col min="5" max="5" width="143.421875" style="0" bestFit="1" customWidth="1"/>
    <col min="6" max="6" width="12.7109375" style="0" customWidth="1"/>
    <col min="7" max="7" width="11.7109375" style="0" customWidth="1"/>
    <col min="8" max="8" width="15.7109375" style="0" customWidth="1"/>
    <col min="9" max="9" width="2.7109375" style="0" customWidth="1"/>
    <col min="10" max="21" width="12.7109375" style="0" customWidth="1"/>
    <col min="22" max="16384" width="9.140625" style="0" hidden="1" customWidth="1"/>
  </cols>
  <sheetData>
    <row r="1" spans="1:21" ht="26.25">
      <c r="A1" s="22" t="str">
        <f ca="1">RIGHT(CELL("filename",$A$1),LEN(CELL("filename",$A$1))-SEARCH("]",CELL("filename",$A$1)))</f>
        <v>Calc</v>
      </c>
      <c r="B1" s="22"/>
      <c r="C1" s="23"/>
      <c r="D1" s="36"/>
      <c r="E1" s="36"/>
      <c r="F1" s="143"/>
      <c r="G1" s="144"/>
      <c r="H1" s="139"/>
      <c r="I1" s="36"/>
      <c r="J1" s="88"/>
      <c r="K1" s="36"/>
      <c r="L1" s="36"/>
      <c r="M1" s="36"/>
      <c r="N1" s="36"/>
      <c r="O1" s="36"/>
      <c r="P1" s="36"/>
      <c r="Q1" s="36"/>
      <c r="R1" s="36"/>
      <c r="S1" s="36"/>
      <c r="T1" s="36"/>
      <c r="U1" s="36"/>
    </row>
    <row r="2" spans="5:21" ht="12.75" customHeight="1">
      <c r="E2" s="4" t="str">
        <f>Time!E$25</f>
        <v>Model period ending</v>
      </c>
      <c r="F2" s="133"/>
      <c r="G2" s="133"/>
      <c r="H2" s="4"/>
      <c r="I2" s="4"/>
      <c r="J2" s="3">
        <f>Time!J$25</f>
        <v>41364</v>
      </c>
      <c r="K2" s="3">
        <f>Time!K$25</f>
        <v>41729</v>
      </c>
      <c r="L2" s="3">
        <f>Time!L$25</f>
        <v>42094</v>
      </c>
      <c r="M2" s="3">
        <f>Time!M$25</f>
        <v>42460</v>
      </c>
      <c r="N2" s="3">
        <f>Time!N$25</f>
        <v>42825</v>
      </c>
      <c r="O2" s="3">
        <f>Time!O$25</f>
        <v>43190</v>
      </c>
      <c r="P2" s="3">
        <f>Time!P$25</f>
        <v>43555</v>
      </c>
      <c r="Q2" s="3">
        <f>Time!Q$25</f>
        <v>43921</v>
      </c>
      <c r="R2" s="3">
        <f>Time!R$25</f>
        <v>44286</v>
      </c>
      <c r="S2" s="3">
        <f>Time!S$25</f>
        <v>44651</v>
      </c>
      <c r="T2" s="3">
        <f>Time!T$25</f>
        <v>45016</v>
      </c>
      <c r="U2" s="3">
        <f>Time!U$25</f>
        <v>45382</v>
      </c>
    </row>
    <row r="3" spans="5:21" ht="12.75" customHeight="1">
      <c r="E3" s="4" t="str">
        <f>Time!E$80</f>
        <v>Timeline label</v>
      </c>
      <c r="F3" s="26"/>
      <c r="G3" s="26"/>
      <c r="H3" s="4"/>
      <c r="I3" s="4"/>
      <c r="J3" s="124" t="str">
        <f>Time!J$80</f>
        <v>Pre-Fcst</v>
      </c>
      <c r="K3" s="124" t="str">
        <f>Time!K$80</f>
        <v>Pre-Fcst</v>
      </c>
      <c r="L3" s="124" t="str">
        <f>Time!L$80</f>
        <v>Pre-Fcst</v>
      </c>
      <c r="M3" s="124" t="str">
        <f>Time!M$80</f>
        <v>Pre-Fcst</v>
      </c>
      <c r="N3" s="124" t="str">
        <f>Time!N$80</f>
        <v>Pre-Fcst</v>
      </c>
      <c r="O3" s="124" t="str">
        <f>Time!O$80</f>
        <v>Pre-Fcst</v>
      </c>
      <c r="P3" s="124" t="str">
        <f>Time!P$80</f>
        <v>Pre-Fcst</v>
      </c>
      <c r="Q3" s="124" t="str">
        <f>Time!Q$80</f>
        <v>Pre-Fcst</v>
      </c>
      <c r="R3" s="124" t="str">
        <f>Time!R$80</f>
        <v>Forecast</v>
      </c>
      <c r="S3" s="124" t="str">
        <f>Time!S$80</f>
        <v>Forecast</v>
      </c>
      <c r="T3" s="124" t="str">
        <f>Time!T$80</f>
        <v>Forecast</v>
      </c>
      <c r="U3" s="124" t="str">
        <f>Time!U$80</f>
        <v>Forecast</v>
      </c>
    </row>
    <row r="4" spans="4:21" ht="12.75" customHeight="1">
      <c r="D4" s="288"/>
      <c r="E4" s="4" t="str">
        <f>Time!E$103</f>
        <v>Financial year ending</v>
      </c>
      <c r="F4" s="26"/>
      <c r="G4" s="26"/>
      <c r="H4" s="4"/>
      <c r="I4" s="4"/>
      <c r="J4" s="24">
        <f>Time!J$103</f>
        <v>2013</v>
      </c>
      <c r="K4" s="24">
        <f>Time!K$103</f>
        <v>2014</v>
      </c>
      <c r="L4" s="24">
        <f>Time!L$103</f>
        <v>2015</v>
      </c>
      <c r="M4" s="24">
        <f>Time!M$103</f>
        <v>2016</v>
      </c>
      <c r="N4" s="24">
        <f>Time!N$103</f>
        <v>2017</v>
      </c>
      <c r="O4" s="24">
        <f>Time!O$103</f>
        <v>2018</v>
      </c>
      <c r="P4" s="24">
        <f>Time!P$103</f>
        <v>2019</v>
      </c>
      <c r="Q4" s="24">
        <f>Time!Q$103</f>
        <v>2020</v>
      </c>
      <c r="R4" s="24">
        <f>Time!R$103</f>
        <v>2021</v>
      </c>
      <c r="S4" s="24">
        <f>Time!S$103</f>
        <v>2022</v>
      </c>
      <c r="T4" s="24">
        <f>Time!T$103</f>
        <v>2023</v>
      </c>
      <c r="U4" s="24">
        <f>Time!U$103</f>
        <v>2024</v>
      </c>
    </row>
    <row r="5" spans="5:21" ht="12.75" customHeight="1">
      <c r="E5" s="4" t="str">
        <f>Time!E$10</f>
        <v>Model column counter</v>
      </c>
      <c r="F5" s="38" t="s">
        <v>133</v>
      </c>
      <c r="G5" s="35" t="s">
        <v>134</v>
      </c>
      <c r="H5" s="38" t="s">
        <v>135</v>
      </c>
      <c r="I5" s="4"/>
      <c r="J5" s="4">
        <f>Time!J$10</f>
        <v>1</v>
      </c>
      <c r="K5" s="4">
        <f>Time!K$10</f>
        <v>2</v>
      </c>
      <c r="L5" s="4">
        <f>Time!L$10</f>
        <v>3</v>
      </c>
      <c r="M5" s="4">
        <f>Time!M$10</f>
        <v>4</v>
      </c>
      <c r="N5" s="4">
        <f>Time!N$10</f>
        <v>5</v>
      </c>
      <c r="O5" s="4">
        <f>Time!O$10</f>
        <v>6</v>
      </c>
      <c r="P5" s="4">
        <f>Time!P$10</f>
        <v>7</v>
      </c>
      <c r="Q5" s="4">
        <f>Time!Q$10</f>
        <v>8</v>
      </c>
      <c r="R5" s="4">
        <f>Time!R$10</f>
        <v>9</v>
      </c>
      <c r="S5" s="4">
        <f>Time!S$10</f>
        <v>10</v>
      </c>
      <c r="T5" s="4">
        <f>Time!T$10</f>
        <v>11</v>
      </c>
      <c r="U5" s="4">
        <f>Time!U$10</f>
        <v>12</v>
      </c>
    </row>
    <row r="6" ht="12.75">
      <c r="D6" s="288"/>
    </row>
    <row r="7" spans="1:21" ht="12.75" customHeight="1" collapsed="1">
      <c r="A7" s="43" t="s">
        <v>314</v>
      </c>
      <c r="B7" s="43"/>
      <c r="C7" s="44"/>
      <c r="D7" s="43"/>
      <c r="E7" s="43"/>
      <c r="F7" s="43"/>
      <c r="G7" s="43"/>
      <c r="H7" s="43"/>
      <c r="I7" s="43"/>
      <c r="J7" s="43"/>
      <c r="K7" s="43"/>
      <c r="L7" s="43"/>
      <c r="M7" s="43"/>
      <c r="N7" s="43"/>
      <c r="O7" s="43"/>
      <c r="P7" s="43"/>
      <c r="Q7" s="43"/>
      <c r="R7" s="43"/>
      <c r="S7" s="43"/>
      <c r="T7" s="43"/>
      <c r="U7" s="43"/>
    </row>
    <row r="8" ht="12.75" hidden="1" outlineLevel="1"/>
    <row r="9" ht="12.75" hidden="1" outlineLevel="1">
      <c r="B9" s="35" t="s">
        <v>315</v>
      </c>
    </row>
    <row r="10" spans="1:21" s="185" customFormat="1" ht="12.75" hidden="1" outlineLevel="1">
      <c r="A10" s="169" t="str">
        <f>Inputs!A$85</f>
        <v>APP8001W</v>
      </c>
      <c r="B10" s="163"/>
      <c r="C10" s="164"/>
      <c r="D10" s="165"/>
      <c r="E10" s="169" t="str">
        <f>Inputs!E$85</f>
        <v>Wholesale water closing RCV at 31 March 2020 (from PR14 FD)</v>
      </c>
      <c r="F10" s="169">
        <f>Inputs!F$85</f>
        <v>0</v>
      </c>
      <c r="G10" s="169" t="str">
        <f>Inputs!G$85</f>
        <v>£m</v>
      </c>
      <c r="H10" s="165"/>
      <c r="I10" s="165"/>
      <c r="J10" s="165"/>
      <c r="K10" s="165"/>
      <c r="L10" s="165"/>
      <c r="M10" s="165"/>
      <c r="N10" s="165"/>
      <c r="O10" s="165"/>
      <c r="P10" s="165"/>
      <c r="Q10" s="165"/>
      <c r="R10" s="165"/>
      <c r="S10" s="165"/>
      <c r="T10" s="165"/>
      <c r="U10" s="165"/>
    </row>
    <row r="11" spans="1:21" s="185" customFormat="1" ht="12.75" hidden="1" outlineLevel="1">
      <c r="A11" s="169" t="str">
        <f>Inputs!A$86</f>
        <v>C00572_L021</v>
      </c>
      <c r="B11" s="163"/>
      <c r="C11" s="164"/>
      <c r="D11" s="165"/>
      <c r="E11" s="169" t="str">
        <f>Inputs!E$86</f>
        <v>Water ~ Total Adjustment RCV carry forward to PR19</v>
      </c>
      <c r="F11" s="169">
        <f>Inputs!F$86</f>
        <v>3.02930223534782</v>
      </c>
      <c r="G11" s="169" t="str">
        <f>Inputs!G$86</f>
        <v>£m</v>
      </c>
      <c r="H11" s="165"/>
      <c r="I11" s="165"/>
      <c r="J11" s="165"/>
      <c r="K11" s="165"/>
      <c r="L11" s="165"/>
      <c r="M11" s="165"/>
      <c r="N11" s="165"/>
      <c r="O11" s="165"/>
      <c r="P11" s="165"/>
      <c r="Q11" s="165"/>
      <c r="R11" s="165"/>
      <c r="S11" s="165"/>
      <c r="T11" s="165"/>
      <c r="U11" s="165"/>
    </row>
    <row r="12" spans="1:21" s="185" customFormat="1" ht="12.75" hidden="1" outlineLevel="1">
      <c r="A12" s="169" t="str">
        <f>Inputs!A$87</f>
        <v>APP25001</v>
      </c>
      <c r="B12" s="163"/>
      <c r="C12" s="164"/>
      <c r="D12" s="165"/>
      <c r="E12" s="169" t="str">
        <f>Inputs!E$87</f>
        <v>Water ~ CIS RCV inflation correction</v>
      </c>
      <c r="F12" s="169">
        <f>Inputs!F$87</f>
        <v>-40.0099985029751</v>
      </c>
      <c r="G12" s="169" t="str">
        <f>Inputs!G$87</f>
        <v>£m</v>
      </c>
      <c r="H12" s="165"/>
      <c r="I12" s="165"/>
      <c r="J12" s="165"/>
      <c r="K12" s="165"/>
      <c r="L12" s="165"/>
      <c r="M12" s="165"/>
      <c r="N12" s="165"/>
      <c r="O12" s="165"/>
      <c r="P12" s="165"/>
      <c r="Q12" s="165"/>
      <c r="R12" s="165"/>
      <c r="S12" s="165"/>
      <c r="T12" s="165"/>
      <c r="U12" s="165"/>
    </row>
    <row r="13" spans="1:21" s="185" customFormat="1" ht="12.75" hidden="1" outlineLevel="1">
      <c r="A13" s="169" t="str">
        <f>Inputs!A$88</f>
        <v>C_APP27029_PD002</v>
      </c>
      <c r="B13" s="163"/>
      <c r="C13" s="164"/>
      <c r="D13" s="165"/>
      <c r="E13" s="169" t="str">
        <f>Inputs!E$88</f>
        <v>Net performance payment / (penalty) applied to RCV for end of period ODI adjustments ~ Water resources</v>
      </c>
      <c r="F13" s="169">
        <f>Inputs!F$88</f>
        <v>0</v>
      </c>
      <c r="G13" s="169" t="str">
        <f>Inputs!G$88</f>
        <v>£m</v>
      </c>
      <c r="H13" s="165"/>
      <c r="I13" s="165"/>
      <c r="J13" s="165"/>
      <c r="K13" s="165"/>
      <c r="L13" s="165"/>
      <c r="M13" s="165"/>
      <c r="N13" s="165"/>
      <c r="O13" s="165"/>
      <c r="P13" s="165"/>
      <c r="Q13" s="165"/>
      <c r="R13" s="165"/>
      <c r="S13" s="165"/>
      <c r="T13" s="165"/>
      <c r="U13" s="165"/>
    </row>
    <row r="14" spans="1:21" s="185" customFormat="1" ht="12.75" hidden="1" outlineLevel="1">
      <c r="A14" s="169" t="str">
        <f>Inputs!A$89</f>
        <v>C_APP27030_PD002</v>
      </c>
      <c r="B14" s="163"/>
      <c r="C14" s="164"/>
      <c r="D14" s="165"/>
      <c r="E14" s="169" t="str">
        <f>Inputs!E$89</f>
        <v>Net performance payment / (penalty) applied to RCV for end of period ODI adjustments ~ Water network plus</v>
      </c>
      <c r="F14" s="169">
        <f>Inputs!F$89</f>
        <v>0</v>
      </c>
      <c r="G14" s="169" t="str">
        <f>Inputs!G$89</f>
        <v>£m</v>
      </c>
      <c r="H14" s="165"/>
      <c r="I14" s="165"/>
      <c r="J14" s="165"/>
      <c r="K14" s="165"/>
      <c r="L14" s="165"/>
      <c r="M14" s="165"/>
      <c r="N14" s="165"/>
      <c r="O14" s="165"/>
      <c r="P14" s="165"/>
      <c r="Q14" s="165"/>
      <c r="R14" s="165"/>
      <c r="S14" s="165"/>
      <c r="T14" s="165"/>
      <c r="U14" s="165"/>
    </row>
    <row r="15" spans="1:21" s="185" customFormat="1" ht="12.75" hidden="1" outlineLevel="1">
      <c r="A15" s="169" t="str">
        <f>Inputs!A$90</f>
        <v>C_WS15025_PR19PD006</v>
      </c>
      <c r="B15" s="163"/>
      <c r="C15" s="164"/>
      <c r="D15" s="165"/>
      <c r="E15" s="169" t="str">
        <f>Inputs!E$90</f>
        <v>Water: RCV adjustment from totex menu model</v>
      </c>
      <c r="F15" s="169">
        <f>Inputs!F$90</f>
        <v>45.136</v>
      </c>
      <c r="G15" s="169" t="str">
        <f>Inputs!G$90</f>
        <v>£m</v>
      </c>
      <c r="H15" s="165"/>
      <c r="I15" s="165"/>
      <c r="J15" s="165"/>
      <c r="K15" s="165"/>
      <c r="L15" s="165"/>
      <c r="M15" s="165"/>
      <c r="N15" s="165"/>
      <c r="O15" s="165"/>
      <c r="P15" s="165"/>
      <c r="Q15" s="165"/>
      <c r="R15" s="165"/>
      <c r="S15" s="165"/>
      <c r="T15" s="165"/>
      <c r="U15" s="165"/>
    </row>
    <row r="16" ht="4.5" customHeight="1" hidden="1" outlineLevel="1">
      <c r="A16"/>
    </row>
    <row r="17" spans="1:21" s="152" customFormat="1" ht="12.75" hidden="1" outlineLevel="1">
      <c r="A17" s="194"/>
      <c r="B17" s="191"/>
      <c r="C17" s="192"/>
      <c r="D17" s="193"/>
      <c r="E17" s="194" t="str">
        <f>Indexation!E$82</f>
        <v>RPI inflate from 2013 FYA to 2020 FYE</v>
      </c>
      <c r="F17" s="194">
        <f>Indexation!F$82</f>
        <v>1.1983243077551855</v>
      </c>
      <c r="G17" s="194" t="str">
        <f>Indexation!G$82</f>
        <v>factor</v>
      </c>
      <c r="H17" s="194"/>
      <c r="I17" s="194"/>
      <c r="J17" s="194"/>
      <c r="K17" s="194"/>
      <c r="L17" s="194"/>
      <c r="M17" s="194"/>
      <c r="N17" s="194"/>
      <c r="O17" s="194"/>
      <c r="P17" s="194"/>
      <c r="Q17" s="194"/>
      <c r="R17" s="194"/>
      <c r="S17" s="194"/>
      <c r="T17" s="194"/>
      <c r="U17" s="194"/>
    </row>
    <row r="18" ht="4.5" customHeight="1" hidden="1" outlineLevel="1"/>
    <row r="19" spans="1:7" s="4" customFormat="1" ht="12.75" hidden="1" outlineLevel="1">
      <c r="A19" s="35"/>
      <c r="B19" s="35"/>
      <c r="C19" s="34"/>
      <c r="E19" s="167" t="str">
        <f aca="true" t="shared" si="0" ref="E19:E24">E10&amp;" at 2020 FYE price base"</f>
        <v>Wholesale water closing RCV at 31 March 2020 (from PR14 FD) at 2020 FYE price base</v>
      </c>
      <c r="F19" s="167">
        <f aca="true" t="shared" si="1" ref="F19:F24">F10*F$17</f>
        <v>0</v>
      </c>
      <c r="G19" s="167" t="s">
        <v>206</v>
      </c>
    </row>
    <row r="20" spans="5:7" ht="12.75" hidden="1" outlineLevel="1">
      <c r="E20" s="167" t="str">
        <f t="shared" si="0"/>
        <v>Water ~ Total Adjustment RCV carry forward to PR19 at 2020 FYE price base</v>
      </c>
      <c r="F20" s="167">
        <f t="shared" si="1"/>
        <v>3.6300865041544124</v>
      </c>
      <c r="G20" s="167" t="s">
        <v>206</v>
      </c>
    </row>
    <row r="21" spans="5:7" ht="12.75" hidden="1" outlineLevel="1">
      <c r="E21" s="167" t="str">
        <f t="shared" si="0"/>
        <v>Water ~ CIS RCV inflation correction at 2020 FYE price base</v>
      </c>
      <c r="F21" s="167">
        <f t="shared" si="1"/>
        <v>-47.94495375936365</v>
      </c>
      <c r="G21" s="167" t="s">
        <v>206</v>
      </c>
    </row>
    <row r="22" spans="5:7" ht="12.75" hidden="1" outlineLevel="1">
      <c r="E22" s="167" t="str">
        <f t="shared" si="0"/>
        <v>Net performance payment / (penalty) applied to RCV for end of period ODI adjustments ~ Water resources at 2020 FYE price base</v>
      </c>
      <c r="F22" s="167">
        <f t="shared" si="1"/>
        <v>0</v>
      </c>
      <c r="G22" s="167" t="s">
        <v>206</v>
      </c>
    </row>
    <row r="23" spans="1:21" s="244" customFormat="1" ht="12.75" hidden="1" outlineLevel="1">
      <c r="A23" s="35"/>
      <c r="B23" s="35"/>
      <c r="C23" s="34"/>
      <c r="D23" s="4"/>
      <c r="E23" s="167" t="str">
        <f t="shared" si="0"/>
        <v>Net performance payment / (penalty) applied to RCV for end of period ODI adjustments ~ Water network plus at 2020 FYE price base</v>
      </c>
      <c r="F23" s="167">
        <f t="shared" si="1"/>
        <v>0</v>
      </c>
      <c r="G23" s="167" t="s">
        <v>206</v>
      </c>
      <c r="H23"/>
      <c r="I23"/>
      <c r="J23"/>
      <c r="K23"/>
      <c r="L23"/>
      <c r="M23"/>
      <c r="N23"/>
      <c r="O23"/>
      <c r="P23"/>
      <c r="Q23"/>
      <c r="R23"/>
      <c r="S23"/>
      <c r="T23"/>
      <c r="U23"/>
    </row>
    <row r="24" spans="5:7" ht="12.75" hidden="1" outlineLevel="1">
      <c r="E24" s="167" t="str">
        <f t="shared" si="0"/>
        <v>Water: RCV adjustment from totex menu model at 2020 FYE price base</v>
      </c>
      <c r="F24" s="167">
        <f t="shared" si="1"/>
        <v>54.087565954838055</v>
      </c>
      <c r="G24" s="167" t="s">
        <v>206</v>
      </c>
    </row>
    <row r="25" spans="5:7" ht="12.75" hidden="1" outlineLevel="1">
      <c r="E25" s="169"/>
      <c r="F25" s="169"/>
      <c r="G25" s="169"/>
    </row>
    <row r="26" spans="1:21" s="185" customFormat="1" ht="12.75" hidden="1" outlineLevel="1">
      <c r="A26" s="169" t="str">
        <f>Inputs!A$91</f>
        <v>APP8009W</v>
      </c>
      <c r="B26" s="163"/>
      <c r="C26" s="164"/>
      <c r="D26" s="165"/>
      <c r="E26" s="169" t="str">
        <f>Inputs!E$91</f>
        <v>Water ~ Other adjustment to wholesale RCV</v>
      </c>
      <c r="F26" s="169">
        <f>Inputs!F$91</f>
        <v>0</v>
      </c>
      <c r="G26" s="169" t="str">
        <f>Inputs!G$91</f>
        <v>£m</v>
      </c>
      <c r="H26" s="165"/>
      <c r="I26" s="165"/>
      <c r="J26" s="165"/>
      <c r="K26" s="165"/>
      <c r="L26" s="165"/>
      <c r="M26" s="165"/>
      <c r="N26" s="165"/>
      <c r="O26" s="165"/>
      <c r="P26" s="165"/>
      <c r="Q26" s="165"/>
      <c r="R26" s="165"/>
      <c r="S26" s="165"/>
      <c r="T26" s="165"/>
      <c r="U26" s="165"/>
    </row>
    <row r="27" spans="1:21" s="186" customFormat="1" ht="12.75" hidden="1" outlineLevel="1">
      <c r="A27" s="169" t="str">
        <f>Inputs!A$92</f>
        <v>C_A7010W_PR19PD003</v>
      </c>
      <c r="B27" s="163"/>
      <c r="C27" s="164"/>
      <c r="D27" s="165"/>
      <c r="E27" s="169" t="str">
        <f>Inputs!E$92</f>
        <v>Water ~ NPV effect of 50% of proceeds from disposals of interest in land</v>
      </c>
      <c r="F27" s="169">
        <f>Inputs!F$92</f>
        <v>-1.491</v>
      </c>
      <c r="G27" s="169" t="str">
        <f>Inputs!G$92</f>
        <v>£m</v>
      </c>
      <c r="H27" s="165"/>
      <c r="I27" s="165"/>
      <c r="J27" s="165"/>
      <c r="K27" s="165"/>
      <c r="L27" s="165"/>
      <c r="M27" s="165"/>
      <c r="N27" s="165"/>
      <c r="O27" s="165"/>
      <c r="P27" s="165"/>
      <c r="Q27" s="165"/>
      <c r="R27" s="165"/>
      <c r="S27" s="165"/>
      <c r="T27" s="165"/>
      <c r="U27" s="165"/>
    </row>
    <row r="28" ht="4.5" customHeight="1" hidden="1" outlineLevel="1"/>
    <row r="29" spans="1:8" s="152" customFormat="1" ht="12.75" hidden="1" outlineLevel="1">
      <c r="A29" s="191"/>
      <c r="B29" s="191"/>
      <c r="C29" s="192"/>
      <c r="D29" s="193"/>
      <c r="E29" s="194" t="str">
        <f>Indexation!E$95</f>
        <v>RPI inflate from 2018 FYE to 2020 FYE</v>
      </c>
      <c r="F29" s="194">
        <f>Indexation!F$95</f>
        <v>1.0535393460294644</v>
      </c>
      <c r="G29" s="194" t="str">
        <f>Indexation!G$95</f>
        <v>factor</v>
      </c>
      <c r="H29" s="194"/>
    </row>
    <row r="30" spans="1:8" s="152" customFormat="1" ht="12.75" hidden="1" outlineLevel="1">
      <c r="A30" s="191"/>
      <c r="B30" s="191"/>
      <c r="C30" s="192"/>
      <c r="D30" s="193"/>
      <c r="E30" s="194" t="str">
        <f>Indexation!E$89</f>
        <v>RPI inflate from 2018 FYA to 2020 FYE</v>
      </c>
      <c r="F30" s="194">
        <f>Indexation!F$89</f>
        <v>1.0665373306253598</v>
      </c>
      <c r="G30" s="194" t="str">
        <f>Indexation!G$89</f>
        <v>factor</v>
      </c>
      <c r="H30" s="194"/>
    </row>
    <row r="31" ht="4.5" customHeight="1" hidden="1" outlineLevel="1"/>
    <row r="32" spans="1:21" s="147" customFormat="1" ht="12.75" hidden="1" outlineLevel="1">
      <c r="A32" s="35"/>
      <c r="B32" s="35"/>
      <c r="C32" s="34"/>
      <c r="D32" s="4"/>
      <c r="E32" s="167" t="str">
        <f>E26&amp;" at 2020 FYE price base"</f>
        <v>Water ~ Other adjustment to wholesale RCV at 2020 FYE price base</v>
      </c>
      <c r="F32" s="167">
        <f>F26*F29</f>
        <v>0</v>
      </c>
      <c r="G32" s="167" t="s">
        <v>206</v>
      </c>
      <c r="H32"/>
      <c r="I32" s="4"/>
      <c r="J32" s="4"/>
      <c r="K32" s="4"/>
      <c r="L32" s="4"/>
      <c r="M32" s="4"/>
      <c r="N32" s="4"/>
      <c r="O32" s="4"/>
      <c r="P32" s="4"/>
      <c r="Q32" s="4"/>
      <c r="R32" s="4"/>
      <c r="S32" s="4"/>
      <c r="T32" s="4"/>
      <c r="U32" s="4"/>
    </row>
    <row r="33" spans="1:21" s="147" customFormat="1" ht="12.75" hidden="1" outlineLevel="1">
      <c r="A33" s="35"/>
      <c r="B33" s="35"/>
      <c r="C33" s="34"/>
      <c r="D33" s="4"/>
      <c r="E33" s="167" t="str">
        <f>E27&amp;" at 2020 FYE price base"</f>
        <v>Water ~ NPV effect of 50% of proceeds from disposals of interest in land at 2020 FYE price base</v>
      </c>
      <c r="F33" s="167">
        <f>F27*F30</f>
        <v>-1.5902071599624117</v>
      </c>
      <c r="G33" s="167" t="s">
        <v>206</v>
      </c>
      <c r="H33" s="4"/>
      <c r="I33" s="4"/>
      <c r="J33" s="4"/>
      <c r="K33" s="4"/>
      <c r="L33" s="4"/>
      <c r="M33" s="4"/>
      <c r="N33" s="4"/>
      <c r="O33" s="4"/>
      <c r="P33" s="4"/>
      <c r="Q33" s="4"/>
      <c r="R33" s="4"/>
      <c r="S33" s="4"/>
      <c r="T33" s="4"/>
      <c r="U33" s="4"/>
    </row>
    <row r="34" spans="8:21" s="147" customFormat="1" ht="12.75" hidden="1" outlineLevel="1">
      <c r="H34" s="9"/>
      <c r="I34" s="9"/>
      <c r="J34" s="9"/>
      <c r="K34" s="9"/>
      <c r="L34" s="9"/>
      <c r="M34" s="9"/>
      <c r="N34" s="9"/>
      <c r="O34" s="9"/>
      <c r="P34" s="9"/>
      <c r="Q34" s="9"/>
      <c r="R34" s="9"/>
      <c r="S34" s="9"/>
      <c r="T34" s="9"/>
      <c r="U34" s="9"/>
    </row>
    <row r="35" spans="1:21" s="147" customFormat="1" ht="12.75" hidden="1" outlineLevel="1">
      <c r="A35" s="35"/>
      <c r="B35" s="35"/>
      <c r="C35" s="34" t="s">
        <v>316</v>
      </c>
      <c r="D35" s="4"/>
      <c r="H35" s="9"/>
      <c r="I35" s="9"/>
      <c r="J35" s="9"/>
      <c r="K35" s="9"/>
      <c r="L35" s="9"/>
      <c r="M35" s="9"/>
      <c r="N35" s="9"/>
      <c r="O35" s="9"/>
      <c r="P35" s="9"/>
      <c r="Q35" s="9"/>
      <c r="R35" s="9"/>
      <c r="S35" s="9"/>
      <c r="T35" s="9"/>
      <c r="U35" s="9"/>
    </row>
    <row r="36" spans="1:21" s="147" customFormat="1" ht="12.75" hidden="1" outlineLevel="1">
      <c r="A36" s="35"/>
      <c r="B36" s="35"/>
      <c r="C36" s="34"/>
      <c r="D36" s="4"/>
      <c r="E36" s="147" t="str">
        <f>E$19</f>
        <v>Wholesale water closing RCV at 31 March 2020 (from PR14 FD) at 2020 FYE price base</v>
      </c>
      <c r="F36" s="147">
        <f>F$19</f>
        <v>0</v>
      </c>
      <c r="G36" s="147" t="str">
        <f>G$19</f>
        <v>£m</v>
      </c>
      <c r="H36" s="9"/>
      <c r="I36" s="9"/>
      <c r="J36" s="9"/>
      <c r="K36" s="9"/>
      <c r="L36" s="9"/>
      <c r="M36" s="9"/>
      <c r="N36" s="9"/>
      <c r="O36" s="9"/>
      <c r="P36" s="9"/>
      <c r="Q36" s="9"/>
      <c r="R36" s="9"/>
      <c r="S36" s="9"/>
      <c r="T36" s="9"/>
      <c r="U36" s="9"/>
    </row>
    <row r="37" spans="1:21" s="147" customFormat="1" ht="12.75" hidden="1" outlineLevel="1">
      <c r="A37" s="35"/>
      <c r="B37" s="35"/>
      <c r="C37" s="34"/>
      <c r="D37" s="4"/>
      <c r="E37" s="147" t="str">
        <f>E$20</f>
        <v>Water ~ Total Adjustment RCV carry forward to PR19 at 2020 FYE price base</v>
      </c>
      <c r="F37" s="147">
        <f>F$20</f>
        <v>3.6300865041544124</v>
      </c>
      <c r="G37" s="147" t="str">
        <f>G$20</f>
        <v>£m</v>
      </c>
      <c r="H37" s="9"/>
      <c r="I37" s="9"/>
      <c r="J37" s="9"/>
      <c r="K37" s="9"/>
      <c r="L37" s="9"/>
      <c r="M37" s="9"/>
      <c r="N37" s="9"/>
      <c r="O37" s="9"/>
      <c r="P37" s="9"/>
      <c r="Q37" s="9"/>
      <c r="R37" s="9"/>
      <c r="S37" s="9"/>
      <c r="T37" s="9"/>
      <c r="U37" s="9"/>
    </row>
    <row r="38" spans="1:21" s="147" customFormat="1" ht="12.75" hidden="1" outlineLevel="1">
      <c r="A38" s="35"/>
      <c r="B38" s="35"/>
      <c r="C38" s="34"/>
      <c r="D38" s="4"/>
      <c r="E38" s="147" t="str">
        <f>E$21</f>
        <v>Water ~ CIS RCV inflation correction at 2020 FYE price base</v>
      </c>
      <c r="F38" s="147">
        <f>F$21</f>
        <v>-47.94495375936365</v>
      </c>
      <c r="G38" s="147" t="str">
        <f>G$21</f>
        <v>£m</v>
      </c>
      <c r="H38" s="9"/>
      <c r="I38" s="9"/>
      <c r="J38" s="9"/>
      <c r="K38" s="9"/>
      <c r="L38" s="9"/>
      <c r="M38" s="9"/>
      <c r="N38" s="9"/>
      <c r="O38" s="9"/>
      <c r="P38" s="9"/>
      <c r="Q38" s="9"/>
      <c r="R38" s="9"/>
      <c r="S38" s="9"/>
      <c r="T38" s="9"/>
      <c r="U38" s="9"/>
    </row>
    <row r="39" spans="1:21" s="147" customFormat="1" ht="12.75" hidden="1" outlineLevel="1">
      <c r="A39" s="35"/>
      <c r="B39" s="35"/>
      <c r="C39" s="34"/>
      <c r="D39" s="4"/>
      <c r="E39" s="147" t="str">
        <f>E$33</f>
        <v>Water ~ NPV effect of 50% of proceeds from disposals of interest in land at 2020 FYE price base</v>
      </c>
      <c r="F39" s="147">
        <f>F$33</f>
        <v>-1.5902071599624117</v>
      </c>
      <c r="G39" s="147" t="str">
        <f>G$33</f>
        <v>£m</v>
      </c>
      <c r="H39" s="9"/>
      <c r="I39" s="9"/>
      <c r="J39" s="9"/>
      <c r="K39" s="9"/>
      <c r="L39" s="9"/>
      <c r="M39" s="9"/>
      <c r="N39" s="9"/>
      <c r="O39" s="9"/>
      <c r="P39" s="9"/>
      <c r="Q39" s="9"/>
      <c r="R39" s="9"/>
      <c r="S39" s="9"/>
      <c r="T39" s="9"/>
      <c r="U39" s="9"/>
    </row>
    <row r="40" spans="1:21" s="147" customFormat="1" ht="12.75" hidden="1" outlineLevel="1">
      <c r="A40" s="35"/>
      <c r="B40" s="35"/>
      <c r="C40" s="34"/>
      <c r="D40" s="4"/>
      <c r="E40" s="147" t="str">
        <f>E$22</f>
        <v>Net performance payment / (penalty) applied to RCV for end of period ODI adjustments ~ Water resources at 2020 FYE price base</v>
      </c>
      <c r="F40" s="147">
        <f>F$22</f>
        <v>0</v>
      </c>
      <c r="G40" s="147" t="str">
        <f>G$22</f>
        <v>£m</v>
      </c>
      <c r="H40" s="9"/>
      <c r="I40" s="9"/>
      <c r="J40" s="9"/>
      <c r="K40" s="9"/>
      <c r="L40" s="9"/>
      <c r="M40" s="9"/>
      <c r="N40" s="9"/>
      <c r="O40" s="9"/>
      <c r="P40" s="9"/>
      <c r="Q40" s="9"/>
      <c r="R40" s="9"/>
      <c r="S40" s="9"/>
      <c r="T40" s="9"/>
      <c r="U40" s="9"/>
    </row>
    <row r="41" spans="1:21" s="246" customFormat="1" ht="12.75" hidden="1" outlineLevel="1">
      <c r="A41" s="35"/>
      <c r="B41" s="35"/>
      <c r="C41" s="34"/>
      <c r="D41" s="4"/>
      <c r="E41" s="147" t="str">
        <f>E$23</f>
        <v>Net performance payment / (penalty) applied to RCV for end of period ODI adjustments ~ Water network plus at 2020 FYE price base</v>
      </c>
      <c r="F41" s="147">
        <f>F$23</f>
        <v>0</v>
      </c>
      <c r="G41" s="147" t="str">
        <f>G$23</f>
        <v>£m</v>
      </c>
      <c r="H41" s="9"/>
      <c r="I41" s="9"/>
      <c r="J41" s="9"/>
      <c r="K41" s="9"/>
      <c r="L41" s="9"/>
      <c r="M41" s="9"/>
      <c r="N41" s="9"/>
      <c r="O41" s="9"/>
      <c r="P41" s="9"/>
      <c r="Q41" s="9"/>
      <c r="R41" s="9"/>
      <c r="S41" s="9"/>
      <c r="T41" s="9"/>
      <c r="U41" s="9"/>
    </row>
    <row r="42" spans="1:21" s="147" customFormat="1" ht="12.75" hidden="1" outlineLevel="1">
      <c r="A42" s="35"/>
      <c r="B42" s="35"/>
      <c r="C42" s="34"/>
      <c r="D42" s="4"/>
      <c r="E42" s="147" t="str">
        <f>E$24</f>
        <v>Water: RCV adjustment from totex menu model at 2020 FYE price base</v>
      </c>
      <c r="F42" s="147">
        <f>F$24</f>
        <v>54.087565954838055</v>
      </c>
      <c r="G42" s="147" t="str">
        <f>G$24</f>
        <v>£m</v>
      </c>
      <c r="H42" s="9"/>
      <c r="I42" s="9"/>
      <c r="J42" s="9"/>
      <c r="K42" s="9"/>
      <c r="L42" s="9"/>
      <c r="M42" s="9"/>
      <c r="N42" s="9"/>
      <c r="O42" s="9"/>
      <c r="P42" s="9"/>
      <c r="Q42" s="9"/>
      <c r="R42" s="9"/>
      <c r="S42" s="9"/>
      <c r="T42" s="9"/>
      <c r="U42" s="9"/>
    </row>
    <row r="43" spans="1:21" s="147" customFormat="1" ht="12.75" hidden="1" outlineLevel="1">
      <c r="A43" s="35"/>
      <c r="B43" s="35"/>
      <c r="C43" s="34"/>
      <c r="D43" s="4"/>
      <c r="E43" s="147" t="str">
        <f>E$32</f>
        <v>Water ~ Other adjustment to wholesale RCV at 2020 FYE price base</v>
      </c>
      <c r="F43" s="147">
        <f>F$32</f>
        <v>0</v>
      </c>
      <c r="G43" s="147" t="str">
        <f>G$32</f>
        <v>£m</v>
      </c>
      <c r="H43" s="9"/>
      <c r="I43" s="9"/>
      <c r="J43" s="9"/>
      <c r="K43" s="9"/>
      <c r="L43" s="9"/>
      <c r="M43" s="9"/>
      <c r="N43" s="9"/>
      <c r="O43" s="9"/>
      <c r="P43" s="9"/>
      <c r="Q43" s="9"/>
      <c r="R43" s="9"/>
      <c r="S43" s="9"/>
      <c r="T43" s="9"/>
      <c r="U43" s="9"/>
    </row>
    <row r="44" ht="4.5" customHeight="1" hidden="1" outlineLevel="1"/>
    <row r="45" spans="1:7" s="152" customFormat="1" ht="12.75" hidden="1" outlineLevel="1">
      <c r="A45" s="191"/>
      <c r="B45" s="191"/>
      <c r="C45" s="192"/>
      <c r="D45" s="193"/>
      <c r="E45" s="194" t="str">
        <f>Indexation!E$106</f>
        <v>CPIH deflate from 2020 FYE to 2018 FYE</v>
      </c>
      <c r="F45" s="194">
        <f>Indexation!F$106</f>
        <v>0.9634345841742631</v>
      </c>
      <c r="G45" s="194" t="str">
        <f>Indexation!G$106</f>
        <v>factor</v>
      </c>
    </row>
    <row r="46" ht="4.5" customHeight="1" hidden="1" outlineLevel="1"/>
    <row r="47" spans="1:21" s="147" customFormat="1" ht="12.75" hidden="1" outlineLevel="1">
      <c r="A47" s="173" t="s">
        <v>513</v>
      </c>
      <c r="B47" s="35"/>
      <c r="C47" s="34"/>
      <c r="D47" s="4"/>
      <c r="E47" s="197" t="s">
        <v>317</v>
      </c>
      <c r="F47" s="197">
        <f aca="true" t="shared" si="2" ref="F47:F54">F36*F$45</f>
        <v>0</v>
      </c>
      <c r="G47" s="197" t="s">
        <v>206</v>
      </c>
      <c r="H47" s="9"/>
      <c r="I47" s="9"/>
      <c r="J47" s="9"/>
      <c r="K47" s="9"/>
      <c r="L47" s="9"/>
      <c r="M47" s="9"/>
      <c r="N47" s="9"/>
      <c r="O47" s="9"/>
      <c r="P47" s="9"/>
      <c r="Q47" s="9"/>
      <c r="R47" s="9"/>
      <c r="S47" s="9"/>
      <c r="T47" s="9"/>
      <c r="U47" s="9"/>
    </row>
    <row r="48" spans="1:21" s="206" customFormat="1" ht="12.75" hidden="1" outlineLevel="1">
      <c r="A48" s="173" t="s">
        <v>514</v>
      </c>
      <c r="B48" s="171"/>
      <c r="C48" s="172"/>
      <c r="D48" s="173"/>
      <c r="E48" s="197" t="s">
        <v>318</v>
      </c>
      <c r="F48" s="197">
        <f t="shared" si="2"/>
        <v>3.497350881646611</v>
      </c>
      <c r="G48" s="197" t="s">
        <v>206</v>
      </c>
      <c r="H48" s="173"/>
      <c r="I48" s="173"/>
      <c r="J48" s="173"/>
      <c r="K48" s="173"/>
      <c r="L48" s="173"/>
      <c r="M48" s="173"/>
      <c r="N48" s="173"/>
      <c r="O48" s="173"/>
      <c r="P48" s="173"/>
      <c r="Q48" s="173"/>
      <c r="R48" s="173"/>
      <c r="S48" s="173"/>
      <c r="T48" s="173"/>
      <c r="U48" s="173"/>
    </row>
    <row r="49" spans="1:21" s="206" customFormat="1" ht="12.75" hidden="1" outlineLevel="1">
      <c r="A49" s="173" t="s">
        <v>515</v>
      </c>
      <c r="B49" s="171"/>
      <c r="C49" s="172"/>
      <c r="D49" s="173"/>
      <c r="E49" s="299" t="s">
        <v>319</v>
      </c>
      <c r="F49" s="197">
        <f t="shared" si="2"/>
        <v>-46.19182658840679</v>
      </c>
      <c r="G49" s="197" t="s">
        <v>206</v>
      </c>
      <c r="H49" s="173"/>
      <c r="I49" s="173"/>
      <c r="J49" s="173"/>
      <c r="K49" s="173"/>
      <c r="L49" s="173"/>
      <c r="M49" s="173"/>
      <c r="N49" s="173"/>
      <c r="O49" s="173"/>
      <c r="P49" s="173"/>
      <c r="Q49" s="173"/>
      <c r="R49" s="173"/>
      <c r="S49" s="173"/>
      <c r="T49" s="173"/>
      <c r="U49" s="173"/>
    </row>
    <row r="50" spans="1:21" s="206" customFormat="1" ht="12.75" hidden="1" outlineLevel="1">
      <c r="A50" s="173" t="s">
        <v>516</v>
      </c>
      <c r="B50" s="171"/>
      <c r="C50" s="172"/>
      <c r="D50" s="173"/>
      <c r="E50" s="197" t="s">
        <v>320</v>
      </c>
      <c r="F50" s="197">
        <f t="shared" si="2"/>
        <v>-1.532060573909322</v>
      </c>
      <c r="G50" s="197" t="s">
        <v>206</v>
      </c>
      <c r="H50" s="173"/>
      <c r="I50" s="173"/>
      <c r="J50" s="173"/>
      <c r="K50" s="173"/>
      <c r="L50" s="173"/>
      <c r="M50" s="173"/>
      <c r="N50" s="173"/>
      <c r="O50" s="173"/>
      <c r="P50" s="173"/>
      <c r="Q50" s="173"/>
      <c r="R50" s="173"/>
      <c r="S50" s="173"/>
      <c r="T50" s="173"/>
      <c r="U50" s="173"/>
    </row>
    <row r="51" spans="1:21" s="206" customFormat="1" ht="12.75" hidden="1" outlineLevel="1">
      <c r="A51" s="173" t="s">
        <v>517</v>
      </c>
      <c r="B51" s="171"/>
      <c r="C51" s="172"/>
      <c r="D51" s="173"/>
      <c r="E51" s="197" t="s">
        <v>321</v>
      </c>
      <c r="F51" s="197">
        <f t="shared" si="2"/>
        <v>0</v>
      </c>
      <c r="G51" s="197" t="s">
        <v>206</v>
      </c>
      <c r="H51" s="173"/>
      <c r="I51" s="173"/>
      <c r="J51" s="173"/>
      <c r="K51" s="173"/>
      <c r="L51" s="173"/>
      <c r="M51" s="173"/>
      <c r="N51" s="173"/>
      <c r="O51" s="173"/>
      <c r="P51" s="173"/>
      <c r="Q51" s="173"/>
      <c r="R51" s="173"/>
      <c r="S51" s="173"/>
      <c r="T51" s="173"/>
      <c r="U51" s="173"/>
    </row>
    <row r="52" spans="1:21" s="247" customFormat="1" ht="12.75" hidden="1" outlineLevel="1">
      <c r="A52" s="173" t="s">
        <v>518</v>
      </c>
      <c r="B52" s="171"/>
      <c r="C52" s="172"/>
      <c r="D52" s="173"/>
      <c r="E52" s="197" t="s">
        <v>322</v>
      </c>
      <c r="F52" s="197">
        <f t="shared" si="2"/>
        <v>0</v>
      </c>
      <c r="G52" s="197" t="s">
        <v>206</v>
      </c>
      <c r="H52" s="173"/>
      <c r="I52" s="173"/>
      <c r="J52" s="173"/>
      <c r="K52" s="173"/>
      <c r="L52" s="173"/>
      <c r="M52" s="173"/>
      <c r="N52" s="173"/>
      <c r="O52" s="173"/>
      <c r="P52" s="173"/>
      <c r="Q52" s="173"/>
      <c r="R52" s="173"/>
      <c r="S52" s="173"/>
      <c r="T52" s="173"/>
      <c r="U52" s="173"/>
    </row>
    <row r="53" spans="1:21" s="206" customFormat="1" ht="12.75" hidden="1" outlineLevel="1">
      <c r="A53" s="173" t="s">
        <v>519</v>
      </c>
      <c r="B53" s="171"/>
      <c r="C53" s="172"/>
      <c r="D53" s="173"/>
      <c r="E53" s="197" t="s">
        <v>323</v>
      </c>
      <c r="F53" s="197">
        <f t="shared" si="2"/>
        <v>52.109831614697434</v>
      </c>
      <c r="G53" s="197" t="s">
        <v>206</v>
      </c>
      <c r="H53" s="173"/>
      <c r="I53" s="173"/>
      <c r="J53" s="173"/>
      <c r="K53" s="173"/>
      <c r="L53" s="173"/>
      <c r="M53" s="173"/>
      <c r="N53" s="173"/>
      <c r="O53" s="173"/>
      <c r="P53" s="173"/>
      <c r="Q53" s="173"/>
      <c r="R53" s="173"/>
      <c r="S53" s="173"/>
      <c r="T53" s="173"/>
      <c r="U53" s="173"/>
    </row>
    <row r="54" spans="1:21" s="206" customFormat="1" ht="12.75" hidden="1" outlineLevel="1">
      <c r="A54" s="173" t="s">
        <v>505</v>
      </c>
      <c r="B54" s="171"/>
      <c r="C54" s="172"/>
      <c r="D54" s="173"/>
      <c r="E54" s="197" t="s">
        <v>324</v>
      </c>
      <c r="F54" s="197">
        <f t="shared" si="2"/>
        <v>0</v>
      </c>
      <c r="G54" s="197" t="s">
        <v>206</v>
      </c>
      <c r="H54" s="173"/>
      <c r="I54" s="173"/>
      <c r="J54" s="173"/>
      <c r="K54" s="173"/>
      <c r="L54" s="173"/>
      <c r="M54" s="173"/>
      <c r="N54" s="173"/>
      <c r="O54" s="173"/>
      <c r="P54" s="173"/>
      <c r="Q54" s="173"/>
      <c r="R54" s="173"/>
      <c r="S54" s="173"/>
      <c r="T54" s="173"/>
      <c r="U54" s="173"/>
    </row>
    <row r="55" spans="1:21" s="197" customFormat="1" ht="12.75" hidden="1" outlineLevel="1">
      <c r="A55" s="173" t="s">
        <v>506</v>
      </c>
      <c r="B55" s="171"/>
      <c r="C55" s="172"/>
      <c r="D55" s="173"/>
      <c r="E55" s="198" t="s">
        <v>325</v>
      </c>
      <c r="F55" s="198">
        <f>SUM(F47:F54)</f>
        <v>7.883295334027935</v>
      </c>
      <c r="G55" s="198" t="s">
        <v>206</v>
      </c>
      <c r="H55" s="173"/>
      <c r="I55" s="173"/>
      <c r="J55" s="173"/>
      <c r="K55" s="173"/>
      <c r="L55" s="173"/>
      <c r="M55" s="173"/>
      <c r="N55" s="173"/>
      <c r="O55" s="173"/>
      <c r="P55" s="173"/>
      <c r="Q55" s="173"/>
      <c r="R55" s="173"/>
      <c r="S55" s="173"/>
      <c r="T55" s="173"/>
      <c r="U55" s="173"/>
    </row>
    <row r="56" spans="1:21" s="147" customFormat="1" ht="12.75" hidden="1" outlineLevel="1">
      <c r="A56" s="35"/>
      <c r="B56" s="35"/>
      <c r="C56" s="34"/>
      <c r="D56" s="4"/>
      <c r="H56" s="9"/>
      <c r="I56" s="9"/>
      <c r="J56" s="9"/>
      <c r="K56" s="9"/>
      <c r="L56" s="9"/>
      <c r="M56" s="9"/>
      <c r="N56" s="9"/>
      <c r="O56" s="9"/>
      <c r="P56" s="9"/>
      <c r="Q56" s="9"/>
      <c r="R56" s="9"/>
      <c r="S56" s="9"/>
      <c r="T56" s="9"/>
      <c r="U56" s="9"/>
    </row>
    <row r="57" spans="1:21" s="147" customFormat="1" ht="12.75" hidden="1" outlineLevel="1">
      <c r="A57" s="35"/>
      <c r="B57" s="35"/>
      <c r="C57" s="34" t="s">
        <v>326</v>
      </c>
      <c r="D57" s="4"/>
      <c r="H57" s="9"/>
      <c r="I57" s="9"/>
      <c r="J57" s="9"/>
      <c r="K57" s="9"/>
      <c r="L57" s="9"/>
      <c r="M57" s="9"/>
      <c r="N57" s="9"/>
      <c r="O57" s="9"/>
      <c r="P57" s="9"/>
      <c r="Q57" s="9"/>
      <c r="R57" s="9"/>
      <c r="S57" s="9"/>
      <c r="T57" s="9"/>
      <c r="U57" s="9"/>
    </row>
    <row r="58" spans="1:21" s="147" customFormat="1" ht="12.75" hidden="1" outlineLevel="1">
      <c r="A58" s="35"/>
      <c r="B58" s="35"/>
      <c r="C58" s="34"/>
      <c r="D58" s="4"/>
      <c r="E58" s="147" t="str">
        <f>E$20</f>
        <v>Water ~ Total Adjustment RCV carry forward to PR19 at 2020 FYE price base</v>
      </c>
      <c r="F58" s="147">
        <f>F$20</f>
        <v>3.6300865041544124</v>
      </c>
      <c r="G58" s="147" t="str">
        <f>G$20</f>
        <v>£m</v>
      </c>
      <c r="H58" s="9"/>
      <c r="I58" s="9"/>
      <c r="J58" s="9"/>
      <c r="K58" s="9"/>
      <c r="L58" s="9"/>
      <c r="M58" s="9"/>
      <c r="N58" s="9"/>
      <c r="O58" s="9"/>
      <c r="P58" s="9"/>
      <c r="Q58" s="9"/>
      <c r="R58" s="9"/>
      <c r="S58" s="9"/>
      <c r="T58" s="9"/>
      <c r="U58" s="9"/>
    </row>
    <row r="59" spans="1:21" s="147" customFormat="1" ht="12.75" hidden="1" outlineLevel="1">
      <c r="A59" s="35"/>
      <c r="B59" s="35"/>
      <c r="C59" s="34"/>
      <c r="D59" s="4"/>
      <c r="E59" s="147" t="str">
        <f>E$21</f>
        <v>Water ~ CIS RCV inflation correction at 2020 FYE price base</v>
      </c>
      <c r="F59" s="147">
        <f>F$21</f>
        <v>-47.94495375936365</v>
      </c>
      <c r="G59" s="147" t="str">
        <f>G$21</f>
        <v>£m</v>
      </c>
      <c r="H59" s="9"/>
      <c r="I59" s="9"/>
      <c r="J59" s="9"/>
      <c r="K59" s="9"/>
      <c r="L59" s="9"/>
      <c r="M59" s="9"/>
      <c r="N59" s="9"/>
      <c r="O59" s="9"/>
      <c r="P59" s="9"/>
      <c r="Q59" s="9"/>
      <c r="R59" s="9"/>
      <c r="S59" s="9"/>
      <c r="T59" s="9"/>
      <c r="U59" s="9"/>
    </row>
    <row r="60" spans="1:21" s="147" customFormat="1" ht="12.75" hidden="1" outlineLevel="1">
      <c r="A60" s="35"/>
      <c r="B60" s="35"/>
      <c r="C60" s="34"/>
      <c r="D60" s="4"/>
      <c r="E60" s="147" t="str">
        <f>E$33</f>
        <v>Water ~ NPV effect of 50% of proceeds from disposals of interest in land at 2020 FYE price base</v>
      </c>
      <c r="F60" s="147">
        <f>F$33</f>
        <v>-1.5902071599624117</v>
      </c>
      <c r="G60" s="147" t="str">
        <f>G$33</f>
        <v>£m</v>
      </c>
      <c r="H60" s="9"/>
      <c r="I60" s="9"/>
      <c r="J60" s="9"/>
      <c r="K60" s="9"/>
      <c r="L60" s="9"/>
      <c r="M60" s="9"/>
      <c r="N60" s="9"/>
      <c r="O60" s="9"/>
      <c r="P60" s="9"/>
      <c r="Q60" s="9"/>
      <c r="R60" s="9"/>
      <c r="S60" s="9"/>
      <c r="T60" s="9"/>
      <c r="U60" s="9"/>
    </row>
    <row r="61" spans="1:21" s="147" customFormat="1" ht="12.75" hidden="1" outlineLevel="1">
      <c r="A61" s="35"/>
      <c r="B61" s="35"/>
      <c r="C61" s="34"/>
      <c r="D61" s="4"/>
      <c r="E61" s="147" t="str">
        <f>E$22</f>
        <v>Net performance payment / (penalty) applied to RCV for end of period ODI adjustments ~ Water resources at 2020 FYE price base</v>
      </c>
      <c r="F61" s="147">
        <f>F$22</f>
        <v>0</v>
      </c>
      <c r="G61" s="147" t="str">
        <f>G$22</f>
        <v>£m</v>
      </c>
      <c r="H61" s="9"/>
      <c r="I61" s="9"/>
      <c r="J61" s="9"/>
      <c r="K61" s="9"/>
      <c r="L61" s="9"/>
      <c r="M61" s="9"/>
      <c r="N61" s="9"/>
      <c r="O61" s="9"/>
      <c r="P61" s="9"/>
      <c r="Q61" s="9"/>
      <c r="R61" s="9"/>
      <c r="S61" s="9"/>
      <c r="T61" s="9"/>
      <c r="U61" s="9"/>
    </row>
    <row r="62" spans="1:21" s="246" customFormat="1" ht="12.75" hidden="1" outlineLevel="1">
      <c r="A62" s="35"/>
      <c r="B62" s="35"/>
      <c r="C62" s="34"/>
      <c r="D62" s="4"/>
      <c r="E62" s="147" t="str">
        <f>E$23</f>
        <v>Net performance payment / (penalty) applied to RCV for end of period ODI adjustments ~ Water network plus at 2020 FYE price base</v>
      </c>
      <c r="F62" s="147">
        <f>F$23</f>
        <v>0</v>
      </c>
      <c r="G62" s="147" t="str">
        <f>G$23</f>
        <v>£m</v>
      </c>
      <c r="H62" s="9"/>
      <c r="I62" s="9"/>
      <c r="J62" s="9"/>
      <c r="K62" s="9"/>
      <c r="L62" s="9"/>
      <c r="M62" s="9"/>
      <c r="N62" s="9"/>
      <c r="O62" s="9"/>
      <c r="P62" s="9"/>
      <c r="Q62" s="9"/>
      <c r="R62" s="9"/>
      <c r="S62" s="9"/>
      <c r="T62" s="9"/>
      <c r="U62" s="9"/>
    </row>
    <row r="63" spans="1:21" s="147" customFormat="1" ht="12.75" hidden="1" outlineLevel="1">
      <c r="A63" s="35"/>
      <c r="B63" s="35"/>
      <c r="C63" s="34"/>
      <c r="D63" s="4"/>
      <c r="E63" s="147" t="str">
        <f>E$24</f>
        <v>Water: RCV adjustment from totex menu model at 2020 FYE price base</v>
      </c>
      <c r="F63" s="147">
        <f>F$24</f>
        <v>54.087565954838055</v>
      </c>
      <c r="G63" s="147" t="str">
        <f>G$24</f>
        <v>£m</v>
      </c>
      <c r="H63" s="9"/>
      <c r="I63" s="9"/>
      <c r="J63" s="9"/>
      <c r="K63" s="9"/>
      <c r="L63" s="9"/>
      <c r="M63" s="9"/>
      <c r="N63" s="9"/>
      <c r="O63" s="9"/>
      <c r="P63" s="9"/>
      <c r="Q63" s="9"/>
      <c r="R63" s="9"/>
      <c r="S63" s="9"/>
      <c r="T63" s="9"/>
      <c r="U63" s="9"/>
    </row>
    <row r="64" spans="1:21" s="147" customFormat="1" ht="12.75" hidden="1" outlineLevel="1">
      <c r="A64" s="35"/>
      <c r="B64" s="35"/>
      <c r="C64" s="34"/>
      <c r="D64" s="4"/>
      <c r="E64" s="147" t="str">
        <f>E$32</f>
        <v>Water ~ Other adjustment to wholesale RCV at 2020 FYE price base</v>
      </c>
      <c r="F64" s="147">
        <f>F$32</f>
        <v>0</v>
      </c>
      <c r="G64" s="147" t="str">
        <f>G$32</f>
        <v>£m</v>
      </c>
      <c r="H64" s="9"/>
      <c r="I64" s="9"/>
      <c r="J64" s="9"/>
      <c r="K64" s="9"/>
      <c r="L64" s="9"/>
      <c r="M64" s="9"/>
      <c r="N64" s="9"/>
      <c r="O64" s="9"/>
      <c r="P64" s="9"/>
      <c r="Q64" s="9"/>
      <c r="R64" s="9"/>
      <c r="S64" s="9"/>
      <c r="T64" s="9"/>
      <c r="U64" s="9"/>
    </row>
    <row r="65" ht="4.5" customHeight="1" hidden="1" outlineLevel="1"/>
    <row r="66" spans="1:7" s="152" customFormat="1" ht="12.75" hidden="1" outlineLevel="1">
      <c r="A66" s="191"/>
      <c r="B66" s="191"/>
      <c r="C66" s="192"/>
      <c r="D66" s="193"/>
      <c r="E66" s="194" t="str">
        <f>Indexation!E$105</f>
        <v>CPIH deflate from 2020 FYE to 2018 FYA</v>
      </c>
      <c r="F66" s="194">
        <f>Indexation!F$105</f>
        <v>0.9553372113608734</v>
      </c>
      <c r="G66" s="194" t="str">
        <f>Indexation!G$105</f>
        <v>factor</v>
      </c>
    </row>
    <row r="67" ht="4.5" customHeight="1" hidden="1" outlineLevel="1"/>
    <row r="68" spans="1:21" s="206" customFormat="1" ht="12.75" hidden="1" outlineLevel="1">
      <c r="A68" s="357" t="s">
        <v>666</v>
      </c>
      <c r="B68" s="171"/>
      <c r="C68" s="172"/>
      <c r="D68" s="173"/>
      <c r="E68" s="197" t="s">
        <v>327</v>
      </c>
      <c r="F68" s="197">
        <f aca="true" t="shared" si="3" ref="F68:F74">F58*F$66</f>
        <v>3.467956717877618</v>
      </c>
      <c r="G68" s="197" t="s">
        <v>206</v>
      </c>
      <c r="H68" s="173"/>
      <c r="I68" s="173"/>
      <c r="J68" s="173"/>
      <c r="K68" s="173"/>
      <c r="L68" s="173"/>
      <c r="M68" s="173"/>
      <c r="N68" s="173"/>
      <c r="O68" s="173"/>
      <c r="P68" s="173"/>
      <c r="Q68" s="173"/>
      <c r="R68" s="173"/>
      <c r="S68" s="173"/>
      <c r="T68" s="173"/>
      <c r="U68" s="173"/>
    </row>
    <row r="69" spans="1:21" s="206" customFormat="1" ht="12.75" hidden="1" outlineLevel="1">
      <c r="A69" s="357" t="s">
        <v>667</v>
      </c>
      <c r="B69" s="171"/>
      <c r="C69" s="172"/>
      <c r="D69" s="173"/>
      <c r="E69" s="299" t="s">
        <v>328</v>
      </c>
      <c r="F69" s="197">
        <f t="shared" si="3"/>
        <v>-45.80359842329649</v>
      </c>
      <c r="G69" s="197" t="s">
        <v>206</v>
      </c>
      <c r="H69" s="173"/>
      <c r="I69" s="173"/>
      <c r="J69" s="173"/>
      <c r="K69" s="173"/>
      <c r="L69" s="173"/>
      <c r="M69" s="173"/>
      <c r="N69" s="173"/>
      <c r="O69" s="173"/>
      <c r="P69" s="173"/>
      <c r="Q69" s="173"/>
      <c r="R69" s="173"/>
      <c r="S69" s="173"/>
      <c r="T69" s="173"/>
      <c r="U69" s="173"/>
    </row>
    <row r="70" spans="1:21" s="206" customFormat="1" ht="12.75" hidden="1" outlineLevel="1">
      <c r="A70" s="173" t="s">
        <v>670</v>
      </c>
      <c r="B70" s="171"/>
      <c r="C70" s="172"/>
      <c r="D70" s="173"/>
      <c r="E70" s="197" t="s">
        <v>329</v>
      </c>
      <c r="F70" s="197">
        <f t="shared" si="3"/>
        <v>-1.5191840736845845</v>
      </c>
      <c r="G70" s="197" t="s">
        <v>206</v>
      </c>
      <c r="H70" s="173"/>
      <c r="I70" s="173"/>
      <c r="J70" s="173"/>
      <c r="K70" s="173"/>
      <c r="L70" s="173"/>
      <c r="M70" s="173"/>
      <c r="N70" s="173"/>
      <c r="O70" s="173"/>
      <c r="P70" s="173"/>
      <c r="Q70" s="173"/>
      <c r="R70" s="173"/>
      <c r="S70" s="173"/>
      <c r="T70" s="173"/>
      <c r="U70" s="173"/>
    </row>
    <row r="71" spans="1:21" s="206" customFormat="1" ht="12.75" hidden="1" outlineLevel="1">
      <c r="A71" s="173" t="s">
        <v>687</v>
      </c>
      <c r="B71" s="171"/>
      <c r="C71" s="172"/>
      <c r="D71" s="173"/>
      <c r="E71" s="197" t="s">
        <v>330</v>
      </c>
      <c r="F71" s="197">
        <f t="shared" si="3"/>
        <v>0</v>
      </c>
      <c r="G71" s="197" t="s">
        <v>206</v>
      </c>
      <c r="H71" s="173"/>
      <c r="I71" s="173"/>
      <c r="J71" s="173"/>
      <c r="K71" s="173"/>
      <c r="L71" s="173"/>
      <c r="M71" s="173"/>
      <c r="N71" s="173"/>
      <c r="O71" s="173"/>
      <c r="P71" s="173"/>
      <c r="Q71" s="173"/>
      <c r="R71" s="173"/>
      <c r="S71" s="173"/>
      <c r="T71" s="173"/>
      <c r="U71" s="173"/>
    </row>
    <row r="72" spans="1:21" s="247" customFormat="1" ht="12.75" hidden="1" outlineLevel="1">
      <c r="A72" s="173" t="s">
        <v>688</v>
      </c>
      <c r="B72" s="171"/>
      <c r="C72" s="172"/>
      <c r="D72" s="173"/>
      <c r="E72" s="197" t="s">
        <v>331</v>
      </c>
      <c r="F72" s="197">
        <f t="shared" si="3"/>
        <v>0</v>
      </c>
      <c r="G72" s="197" t="s">
        <v>206</v>
      </c>
      <c r="H72" s="173"/>
      <c r="I72" s="173"/>
      <c r="J72" s="173"/>
      <c r="K72" s="173"/>
      <c r="L72" s="173"/>
      <c r="M72" s="173"/>
      <c r="N72" s="173"/>
      <c r="O72" s="173"/>
      <c r="P72" s="173"/>
      <c r="Q72" s="173"/>
      <c r="R72" s="173"/>
      <c r="S72" s="173"/>
      <c r="T72" s="173"/>
      <c r="U72" s="173"/>
    </row>
    <row r="73" spans="1:21" s="206" customFormat="1" ht="12.75" hidden="1" outlineLevel="1">
      <c r="A73" s="173" t="s">
        <v>674</v>
      </c>
      <c r="B73" s="171"/>
      <c r="C73" s="172"/>
      <c r="D73" s="173"/>
      <c r="E73" s="197" t="s">
        <v>332</v>
      </c>
      <c r="F73" s="197">
        <f t="shared" si="3"/>
        <v>51.6718644285923</v>
      </c>
      <c r="G73" s="197" t="s">
        <v>206</v>
      </c>
      <c r="H73" s="173"/>
      <c r="I73" s="173"/>
      <c r="J73" s="173"/>
      <c r="K73" s="173"/>
      <c r="L73" s="173"/>
      <c r="M73" s="173"/>
      <c r="N73" s="173"/>
      <c r="O73" s="173"/>
      <c r="P73" s="173"/>
      <c r="Q73" s="173"/>
      <c r="R73" s="173"/>
      <c r="S73" s="173"/>
      <c r="T73" s="173"/>
      <c r="U73" s="173"/>
    </row>
    <row r="74" spans="1:21" s="206" customFormat="1" ht="12.75" hidden="1" outlineLevel="1">
      <c r="A74" s="173" t="s">
        <v>683</v>
      </c>
      <c r="B74" s="171"/>
      <c r="C74" s="172"/>
      <c r="D74" s="173"/>
      <c r="E74" s="197" t="s">
        <v>333</v>
      </c>
      <c r="F74" s="197">
        <f t="shared" si="3"/>
        <v>0</v>
      </c>
      <c r="G74" s="197" t="s">
        <v>206</v>
      </c>
      <c r="H74" s="173"/>
      <c r="I74" s="173"/>
      <c r="J74" s="173"/>
      <c r="K74" s="173"/>
      <c r="L74" s="173"/>
      <c r="M74" s="173"/>
      <c r="N74" s="173"/>
      <c r="O74" s="173"/>
      <c r="P74" s="173"/>
      <c r="Q74" s="173"/>
      <c r="R74" s="173"/>
      <c r="S74" s="173"/>
      <c r="T74" s="173"/>
      <c r="U74" s="173"/>
    </row>
    <row r="75" spans="1:21" s="206" customFormat="1" ht="12.75" hidden="1" outlineLevel="1">
      <c r="A75" s="171"/>
      <c r="B75" s="171"/>
      <c r="C75" s="172"/>
      <c r="D75" s="173"/>
      <c r="E75" s="197"/>
      <c r="F75" s="197"/>
      <c r="G75" s="197"/>
      <c r="H75" s="173"/>
      <c r="I75" s="173"/>
      <c r="J75" s="173"/>
      <c r="K75" s="173"/>
      <c r="L75" s="173"/>
      <c r="M75" s="173"/>
      <c r="N75" s="173"/>
      <c r="O75" s="173"/>
      <c r="P75" s="173"/>
      <c r="Q75" s="173"/>
      <c r="R75" s="173"/>
      <c r="S75" s="173"/>
      <c r="T75" s="173"/>
      <c r="U75" s="173"/>
    </row>
    <row r="76" spans="1:21" s="206" customFormat="1" ht="12.75" hidden="1" outlineLevel="1">
      <c r="A76" s="171"/>
      <c r="B76" s="275"/>
      <c r="C76" s="272" t="s">
        <v>334</v>
      </c>
      <c r="D76" s="276"/>
      <c r="E76" s="265"/>
      <c r="F76" s="265"/>
      <c r="G76" s="265"/>
      <c r="H76" s="173"/>
      <c r="I76" s="173"/>
      <c r="J76" s="173"/>
      <c r="K76" s="173"/>
      <c r="L76" s="173"/>
      <c r="M76" s="173"/>
      <c r="N76" s="173"/>
      <c r="O76" s="173"/>
      <c r="P76" s="173"/>
      <c r="Q76" s="173"/>
      <c r="R76" s="173"/>
      <c r="S76" s="173"/>
      <c r="T76" s="173"/>
      <c r="U76" s="173"/>
    </row>
    <row r="77" spans="1:21" s="206" customFormat="1" ht="12.75" hidden="1" outlineLevel="1">
      <c r="A77" s="169" t="str">
        <f>Inputs!A$99</f>
        <v>APP33021WR</v>
      </c>
      <c r="B77" s="275"/>
      <c r="C77" s="277"/>
      <c r="D77" s="276"/>
      <c r="E77" s="278" t="str">
        <f>Inputs!E$99</f>
        <v>Water resources IFRS16 RCV adjustment</v>
      </c>
      <c r="F77" s="278">
        <f>Inputs!F$99</f>
        <v>0</v>
      </c>
      <c r="G77" s="278" t="str">
        <f>Inputs!G$99</f>
        <v>£m</v>
      </c>
      <c r="H77" s="173"/>
      <c r="I77" s="173"/>
      <c r="J77" s="173"/>
      <c r="K77" s="173"/>
      <c r="L77" s="173"/>
      <c r="M77" s="173"/>
      <c r="N77" s="173"/>
      <c r="O77" s="173"/>
      <c r="P77" s="173"/>
      <c r="Q77" s="173"/>
      <c r="R77" s="173"/>
      <c r="S77" s="173"/>
      <c r="T77" s="173"/>
      <c r="U77" s="173"/>
    </row>
    <row r="78" spans="1:21" s="206" customFormat="1" ht="12.75" hidden="1" outlineLevel="1">
      <c r="A78" s="169" t="str">
        <f>Inputs!A$100</f>
        <v>APP33021WNP</v>
      </c>
      <c r="B78" s="275"/>
      <c r="C78" s="277"/>
      <c r="D78" s="276"/>
      <c r="E78" s="278" t="str">
        <f>Inputs!E$100</f>
        <v>Water network plus IFRS16 RCV adjustment</v>
      </c>
      <c r="F78" s="278">
        <f>Inputs!F$100</f>
        <v>0</v>
      </c>
      <c r="G78" s="278" t="str">
        <f>Inputs!G$100</f>
        <v>£m</v>
      </c>
      <c r="H78" s="173"/>
      <c r="I78" s="173"/>
      <c r="J78" s="173"/>
      <c r="K78" s="173"/>
      <c r="L78" s="173"/>
      <c r="M78" s="173"/>
      <c r="N78" s="173"/>
      <c r="O78" s="173"/>
      <c r="P78" s="173"/>
      <c r="Q78" s="173"/>
      <c r="R78" s="173"/>
      <c r="S78" s="173"/>
      <c r="T78" s="173"/>
      <c r="U78" s="173"/>
    </row>
    <row r="79" spans="2:7" ht="4.5" customHeight="1" hidden="1" outlineLevel="1">
      <c r="B79" s="271"/>
      <c r="C79" s="272"/>
      <c r="D79" s="245"/>
      <c r="E79" s="244"/>
      <c r="F79" s="244"/>
      <c r="G79" s="244"/>
    </row>
    <row r="80" spans="1:7" s="152" customFormat="1" ht="12.75" hidden="1" outlineLevel="1">
      <c r="A80" s="191"/>
      <c r="B80" s="279"/>
      <c r="C80" s="280"/>
      <c r="D80" s="281"/>
      <c r="E80" s="282" t="str">
        <f>Indexation!E$107</f>
        <v>CPIH deflate from 2018 FYE to 2018 FYA - IFRS 16</v>
      </c>
      <c r="F80" s="282">
        <f>Indexation!F$107</f>
        <v>0.9915953060577227</v>
      </c>
      <c r="G80" s="282" t="str">
        <f>Indexation!G$107</f>
        <v>factor</v>
      </c>
    </row>
    <row r="81" spans="2:7" ht="4.5" customHeight="1" hidden="1" outlineLevel="1">
      <c r="B81" s="271"/>
      <c r="C81" s="272"/>
      <c r="D81" s="245"/>
      <c r="E81" s="244"/>
      <c r="F81" s="244"/>
      <c r="G81" s="244"/>
    </row>
    <row r="82" spans="1:21" s="206" customFormat="1" ht="12.75" hidden="1" outlineLevel="1">
      <c r="A82" s="173" t="s">
        <v>520</v>
      </c>
      <c r="B82" s="275"/>
      <c r="C82" s="277"/>
      <c r="D82" s="276"/>
      <c r="E82" s="265" t="s">
        <v>335</v>
      </c>
      <c r="F82" s="265">
        <f>F77*F$80</f>
        <v>0</v>
      </c>
      <c r="G82" s="265" t="s">
        <v>206</v>
      </c>
      <c r="H82" s="173"/>
      <c r="I82" s="173"/>
      <c r="J82" s="173"/>
      <c r="K82" s="173"/>
      <c r="L82" s="173"/>
      <c r="M82" s="173"/>
      <c r="N82" s="173"/>
      <c r="O82" s="173"/>
      <c r="P82" s="173"/>
      <c r="Q82" s="173"/>
      <c r="R82" s="173"/>
      <c r="S82" s="173"/>
      <c r="T82" s="173"/>
      <c r="U82" s="173"/>
    </row>
    <row r="83" spans="1:21" s="206" customFormat="1" ht="12.75" hidden="1" outlineLevel="1">
      <c r="A83" s="173" t="s">
        <v>521</v>
      </c>
      <c r="B83" s="275"/>
      <c r="C83" s="277"/>
      <c r="D83" s="276"/>
      <c r="E83" s="265" t="s">
        <v>336</v>
      </c>
      <c r="F83" s="265">
        <f>F78*F$80</f>
        <v>0</v>
      </c>
      <c r="G83" s="265" t="s">
        <v>206</v>
      </c>
      <c r="H83" s="173"/>
      <c r="I83" s="173"/>
      <c r="J83" s="173"/>
      <c r="K83" s="173"/>
      <c r="L83" s="173"/>
      <c r="M83" s="173"/>
      <c r="N83" s="173"/>
      <c r="O83" s="173"/>
      <c r="P83" s="173"/>
      <c r="Q83" s="173"/>
      <c r="R83" s="173"/>
      <c r="S83" s="173"/>
      <c r="T83" s="173"/>
      <c r="U83" s="173"/>
    </row>
    <row r="84" spans="5:7" ht="12.75" hidden="1" outlineLevel="1">
      <c r="E84" s="169"/>
      <c r="F84" s="169"/>
      <c r="G84" s="169"/>
    </row>
    <row r="85" spans="1:21" s="147" customFormat="1" ht="12.75" hidden="1" outlineLevel="1">
      <c r="A85" s="35"/>
      <c r="B85" s="35" t="s">
        <v>337</v>
      </c>
      <c r="C85" s="34"/>
      <c r="D85" s="4"/>
      <c r="H85" s="9"/>
      <c r="I85" s="9"/>
      <c r="J85" s="9"/>
      <c r="K85" s="9"/>
      <c r="L85" s="9"/>
      <c r="M85" s="9"/>
      <c r="N85" s="9"/>
      <c r="O85" s="9"/>
      <c r="P85" s="9"/>
      <c r="Q85" s="9"/>
      <c r="R85" s="9"/>
      <c r="S85" s="9"/>
      <c r="T85" s="9"/>
      <c r="U85" s="9"/>
    </row>
    <row r="86" spans="1:21" s="166" customFormat="1" ht="12.75" hidden="1" outlineLevel="1">
      <c r="A86" s="150"/>
      <c r="B86" s="150"/>
      <c r="C86" s="151"/>
      <c r="D86" s="39"/>
      <c r="E86" s="39" t="str">
        <f>E$19</f>
        <v>Wholesale water closing RCV at 31 March 2020 (from PR14 FD) at 2020 FYE price base</v>
      </c>
      <c r="F86" s="39">
        <f>F$19</f>
        <v>0</v>
      </c>
      <c r="G86" s="39" t="str">
        <f>G$19</f>
        <v>£m</v>
      </c>
      <c r="H86" s="177"/>
      <c r="I86" s="177"/>
      <c r="J86" s="177"/>
      <c r="K86" s="177"/>
      <c r="L86" s="177"/>
      <c r="M86" s="177"/>
      <c r="N86" s="177"/>
      <c r="O86" s="177"/>
      <c r="P86" s="177"/>
      <c r="Q86" s="177"/>
      <c r="R86" s="177"/>
      <c r="S86" s="177"/>
      <c r="T86" s="177"/>
      <c r="U86" s="177"/>
    </row>
    <row r="87" spans="1:21" s="166" customFormat="1" ht="12.75" hidden="1" outlineLevel="1">
      <c r="A87" s="150"/>
      <c r="B87" s="150"/>
      <c r="C87" s="151"/>
      <c r="D87" s="39"/>
      <c r="E87" s="39" t="str">
        <f>E$20</f>
        <v>Water ~ Total Adjustment RCV carry forward to PR19 at 2020 FYE price base</v>
      </c>
      <c r="F87" s="39">
        <f>F$20</f>
        <v>3.6300865041544124</v>
      </c>
      <c r="G87" s="39" t="str">
        <f>G$20</f>
        <v>£m</v>
      </c>
      <c r="H87" s="177"/>
      <c r="I87" s="177"/>
      <c r="J87" s="177"/>
      <c r="K87" s="177"/>
      <c r="L87" s="177"/>
      <c r="M87" s="177"/>
      <c r="N87" s="177"/>
      <c r="O87" s="177"/>
      <c r="P87" s="177"/>
      <c r="Q87" s="177"/>
      <c r="R87" s="177"/>
      <c r="S87" s="177"/>
      <c r="T87" s="177"/>
      <c r="U87" s="177"/>
    </row>
    <row r="88" spans="1:21" s="166" customFormat="1" ht="12.75" hidden="1" outlineLevel="1">
      <c r="A88" s="150"/>
      <c r="B88" s="150"/>
      <c r="C88" s="151"/>
      <c r="D88" s="39"/>
      <c r="E88" s="39" t="str">
        <f>E$21</f>
        <v>Water ~ CIS RCV inflation correction at 2020 FYE price base</v>
      </c>
      <c r="F88" s="39">
        <f>F$21</f>
        <v>-47.94495375936365</v>
      </c>
      <c r="G88" s="39" t="str">
        <f>G$21</f>
        <v>£m</v>
      </c>
      <c r="H88" s="177"/>
      <c r="I88" s="177"/>
      <c r="J88" s="177"/>
      <c r="K88" s="177"/>
      <c r="L88" s="177"/>
      <c r="M88" s="177"/>
      <c r="N88" s="177"/>
      <c r="O88" s="177"/>
      <c r="P88" s="177"/>
      <c r="Q88" s="177"/>
      <c r="R88" s="177"/>
      <c r="S88" s="177"/>
      <c r="T88" s="177"/>
      <c r="U88" s="177"/>
    </row>
    <row r="89" spans="1:21" s="166" customFormat="1" ht="12.75" hidden="1" outlineLevel="1">
      <c r="A89" s="150"/>
      <c r="B89" s="150"/>
      <c r="C89" s="151"/>
      <c r="D89" s="39"/>
      <c r="E89" s="39" t="str">
        <f>E$22</f>
        <v>Net performance payment / (penalty) applied to RCV for end of period ODI adjustments ~ Water resources at 2020 FYE price base</v>
      </c>
      <c r="F89" s="39">
        <f>F$22</f>
        <v>0</v>
      </c>
      <c r="G89" s="39" t="str">
        <f>G$22</f>
        <v>£m</v>
      </c>
      <c r="H89" s="177"/>
      <c r="I89" s="177"/>
      <c r="J89" s="177"/>
      <c r="K89" s="177"/>
      <c r="L89" s="177"/>
      <c r="M89" s="177"/>
      <c r="N89" s="177"/>
      <c r="O89" s="177"/>
      <c r="P89" s="177"/>
      <c r="Q89" s="177"/>
      <c r="R89" s="177"/>
      <c r="S89" s="177"/>
      <c r="T89" s="177"/>
      <c r="U89" s="177"/>
    </row>
    <row r="90" spans="1:21" s="248" customFormat="1" ht="12.75" hidden="1" outlineLevel="1">
      <c r="A90" s="150"/>
      <c r="B90" s="150"/>
      <c r="C90" s="151"/>
      <c r="D90" s="39"/>
      <c r="E90" s="39" t="str">
        <f>E$23</f>
        <v>Net performance payment / (penalty) applied to RCV for end of period ODI adjustments ~ Water network plus at 2020 FYE price base</v>
      </c>
      <c r="F90" s="39">
        <f>F$23</f>
        <v>0</v>
      </c>
      <c r="G90" s="39" t="str">
        <f>G$23</f>
        <v>£m</v>
      </c>
      <c r="H90" s="177"/>
      <c r="I90" s="177"/>
      <c r="J90" s="177"/>
      <c r="K90" s="177"/>
      <c r="L90" s="177"/>
      <c r="M90" s="177"/>
      <c r="N90" s="177"/>
      <c r="O90" s="177"/>
      <c r="P90" s="177"/>
      <c r="Q90" s="177"/>
      <c r="R90" s="177"/>
      <c r="S90" s="177"/>
      <c r="T90" s="177"/>
      <c r="U90" s="177"/>
    </row>
    <row r="91" spans="1:21" s="166" customFormat="1" ht="12.75" hidden="1" outlineLevel="1">
      <c r="A91" s="150"/>
      <c r="B91" s="150"/>
      <c r="C91" s="151"/>
      <c r="D91" s="39"/>
      <c r="E91" s="39" t="str">
        <f>E$24</f>
        <v>Water: RCV adjustment from totex menu model at 2020 FYE price base</v>
      </c>
      <c r="F91" s="39">
        <f>F$24</f>
        <v>54.087565954838055</v>
      </c>
      <c r="G91" s="39" t="str">
        <f>G$24</f>
        <v>£m</v>
      </c>
      <c r="H91" s="177"/>
      <c r="I91" s="177"/>
      <c r="J91" s="177"/>
      <c r="K91" s="177"/>
      <c r="L91" s="177"/>
      <c r="M91" s="177"/>
      <c r="N91" s="177"/>
      <c r="O91" s="177"/>
      <c r="P91" s="177"/>
      <c r="Q91" s="177"/>
      <c r="R91" s="177"/>
      <c r="S91" s="177"/>
      <c r="T91" s="177"/>
      <c r="U91" s="177"/>
    </row>
    <row r="92" spans="1:21" s="166" customFormat="1" ht="12.75" hidden="1" outlineLevel="1">
      <c r="A92" s="150"/>
      <c r="B92" s="150"/>
      <c r="C92" s="151"/>
      <c r="D92" s="39"/>
      <c r="E92" s="39" t="str">
        <f>E$32</f>
        <v>Water ~ Other adjustment to wholesale RCV at 2020 FYE price base</v>
      </c>
      <c r="F92" s="39">
        <f>F$32</f>
        <v>0</v>
      </c>
      <c r="G92" s="39" t="str">
        <f>G$32</f>
        <v>£m</v>
      </c>
      <c r="H92" s="177"/>
      <c r="I92" s="177"/>
      <c r="J92" s="177"/>
      <c r="K92" s="177"/>
      <c r="L92" s="177"/>
      <c r="M92" s="177"/>
      <c r="N92" s="177"/>
      <c r="O92" s="177"/>
      <c r="P92" s="177"/>
      <c r="Q92" s="177"/>
      <c r="R92" s="177"/>
      <c r="S92" s="177"/>
      <c r="T92" s="177"/>
      <c r="U92" s="177"/>
    </row>
    <row r="93" spans="1:21" s="166" customFormat="1" ht="12.75" hidden="1" outlineLevel="1">
      <c r="A93" s="150"/>
      <c r="B93" s="150"/>
      <c r="C93" s="151"/>
      <c r="D93" s="39"/>
      <c r="E93" s="39" t="str">
        <f>E$33</f>
        <v>Water ~ NPV effect of 50% of proceeds from disposals of interest in land at 2020 FYE price base</v>
      </c>
      <c r="F93" s="39">
        <f>F$33</f>
        <v>-1.5902071599624117</v>
      </c>
      <c r="G93" s="39" t="str">
        <f>G$33</f>
        <v>£m</v>
      </c>
      <c r="H93" s="177"/>
      <c r="I93" s="177"/>
      <c r="J93" s="177"/>
      <c r="K93" s="177"/>
      <c r="L93" s="177"/>
      <c r="M93" s="177"/>
      <c r="N93" s="177"/>
      <c r="O93" s="177"/>
      <c r="P93" s="177"/>
      <c r="Q93" s="177"/>
      <c r="R93" s="177"/>
      <c r="S93" s="177"/>
      <c r="T93" s="177"/>
      <c r="U93" s="177"/>
    </row>
    <row r="94" spans="1:21" s="167" customFormat="1" ht="12.75" hidden="1" outlineLevel="1">
      <c r="A94" s="35"/>
      <c r="B94" s="35"/>
      <c r="C94" s="34"/>
      <c r="D94" s="4"/>
      <c r="E94" s="250" t="s">
        <v>337</v>
      </c>
      <c r="F94" s="250">
        <f>SUM(F86:F93)</f>
        <v>8.182491539666408</v>
      </c>
      <c r="G94" s="250" t="s">
        <v>206</v>
      </c>
      <c r="H94" s="4"/>
      <c r="I94" s="4"/>
      <c r="J94" s="4"/>
      <c r="K94" s="4"/>
      <c r="L94" s="4"/>
      <c r="M94" s="4"/>
      <c r="N94" s="4"/>
      <c r="O94" s="4"/>
      <c r="P94" s="4"/>
      <c r="Q94" s="4"/>
      <c r="R94" s="4"/>
      <c r="S94" s="4"/>
      <c r="T94" s="4"/>
      <c r="U94" s="4"/>
    </row>
    <row r="95" spans="1:21" s="147" customFormat="1" ht="12.75" hidden="1" outlineLevel="1">
      <c r="A95" s="35"/>
      <c r="B95" s="35"/>
      <c r="C95" s="34"/>
      <c r="D95" s="4"/>
      <c r="G95" s="167"/>
      <c r="H95" s="9"/>
      <c r="I95" s="9"/>
      <c r="J95" s="9"/>
      <c r="K95" s="9"/>
      <c r="L95" s="9"/>
      <c r="M95" s="9"/>
      <c r="N95" s="9"/>
      <c r="O95" s="9"/>
      <c r="P95" s="9"/>
      <c r="Q95" s="9"/>
      <c r="R95" s="9"/>
      <c r="S95" s="9"/>
      <c r="T95" s="9"/>
      <c r="U95" s="9"/>
    </row>
    <row r="96" spans="1:21" s="147" customFormat="1" ht="12.75" hidden="1" outlineLevel="1">
      <c r="A96" s="35"/>
      <c r="B96" s="35" t="s">
        <v>118</v>
      </c>
      <c r="C96" s="34"/>
      <c r="D96" s="4"/>
      <c r="G96" s="167"/>
      <c r="H96" s="9"/>
      <c r="I96" s="9"/>
      <c r="J96" s="9"/>
      <c r="K96" s="9"/>
      <c r="L96" s="9"/>
      <c r="M96" s="9"/>
      <c r="N96" s="9"/>
      <c r="O96" s="9"/>
      <c r="P96" s="9"/>
      <c r="Q96" s="9"/>
      <c r="R96" s="9"/>
      <c r="S96" s="9"/>
      <c r="T96" s="9"/>
      <c r="U96" s="9"/>
    </row>
    <row r="97" spans="5:7" ht="12.75" hidden="1" outlineLevel="1">
      <c r="E97" s="39" t="str">
        <f>E$94</f>
        <v>Total wholesale water RCV at 31 March 2020 post midnight adjustments before allocation to price control units at 2020 FYE price base</v>
      </c>
      <c r="F97" s="39">
        <f>F$94</f>
        <v>8.182491539666408</v>
      </c>
      <c r="G97" s="39" t="str">
        <f>G$94</f>
        <v>£m</v>
      </c>
    </row>
    <row r="98" spans="1:21" s="185" customFormat="1" ht="12.75" hidden="1" outlineLevel="1">
      <c r="A98" s="183" t="str">
        <f>Inputs!A$96</f>
        <v>WS12019WR</v>
      </c>
      <c r="B98" s="163"/>
      <c r="C98" s="164"/>
      <c r="D98" s="165"/>
      <c r="E98" s="183" t="str">
        <f>Inputs!E$96</f>
        <v>Water resources % of total wholesale water RCV ~ 31 March 2020</v>
      </c>
      <c r="F98" s="183">
        <f>Inputs!F$96</f>
        <v>0</v>
      </c>
      <c r="G98" s="183" t="str">
        <f>Inputs!G$96</f>
        <v>%</v>
      </c>
      <c r="H98" s="165"/>
      <c r="I98" s="165"/>
      <c r="J98" s="165"/>
      <c r="K98" s="165"/>
      <c r="L98" s="165"/>
      <c r="M98" s="165"/>
      <c r="N98" s="165"/>
      <c r="O98" s="165"/>
      <c r="P98" s="165"/>
      <c r="Q98" s="165"/>
      <c r="R98" s="165"/>
      <c r="S98" s="165"/>
      <c r="T98" s="165"/>
      <c r="U98" s="165"/>
    </row>
    <row r="99" spans="1:21" s="245" customFormat="1" ht="12.75" hidden="1" outlineLevel="1">
      <c r="A99" s="35"/>
      <c r="B99" s="35"/>
      <c r="C99" s="34"/>
      <c r="D99" s="4"/>
      <c r="E99" s="249" t="str">
        <f>E$89</f>
        <v>Net performance payment / (penalty) applied to RCV for end of period ODI adjustments ~ Water resources at 2020 FYE price base</v>
      </c>
      <c r="F99" s="166">
        <f>F$89</f>
        <v>0</v>
      </c>
      <c r="G99" s="249" t="str">
        <f>G$89</f>
        <v>£m</v>
      </c>
      <c r="H99" s="4"/>
      <c r="I99" s="4"/>
      <c r="J99" s="4"/>
      <c r="K99" s="4"/>
      <c r="L99" s="4"/>
      <c r="M99" s="4"/>
      <c r="N99" s="4"/>
      <c r="O99" s="4"/>
      <c r="P99" s="4"/>
      <c r="Q99" s="4"/>
      <c r="R99" s="4"/>
      <c r="S99" s="4"/>
      <c r="T99" s="4"/>
      <c r="U99" s="4"/>
    </row>
    <row r="100" spans="5:7" ht="12.75" hidden="1" outlineLevel="1">
      <c r="E100" s="166" t="str">
        <f>E$90</f>
        <v>Net performance payment / (penalty) applied to RCV for end of period ODI adjustments ~ Water network plus at 2020 FYE price base</v>
      </c>
      <c r="F100" s="166">
        <f>F$90</f>
        <v>0</v>
      </c>
      <c r="G100" s="166" t="str">
        <f>G$90</f>
        <v>£m</v>
      </c>
    </row>
    <row r="101" spans="5:7" ht="12.75" hidden="1" outlineLevel="1">
      <c r="E101" s="166" t="s">
        <v>338</v>
      </c>
      <c r="F101" s="166">
        <f>(F97-F99-F100)*F98+F99</f>
        <v>0</v>
      </c>
      <c r="G101" s="166" t="s">
        <v>206</v>
      </c>
    </row>
    <row r="102" spans="5:7" ht="12.75" hidden="1" outlineLevel="1">
      <c r="E102" s="166"/>
      <c r="F102" s="166"/>
      <c r="G102" s="166"/>
    </row>
    <row r="103" spans="5:7" ht="12.75" hidden="1" outlineLevel="1">
      <c r="E103" s="39" t="str">
        <f>E$101</f>
        <v>Water resources opening RCV at 2020 FYE price base</v>
      </c>
      <c r="F103" s="39">
        <f>F$101</f>
        <v>0</v>
      </c>
      <c r="G103" s="39" t="str">
        <f>G$101</f>
        <v>£m</v>
      </c>
    </row>
    <row r="104" spans="1:21" s="185" customFormat="1" ht="12.75" hidden="1" outlineLevel="1">
      <c r="A104" s="163"/>
      <c r="B104" s="163"/>
      <c r="C104" s="164"/>
      <c r="D104" s="165"/>
      <c r="E104" s="183" t="str">
        <f>Inputs!E$94</f>
        <v>% of RCV to index by RPI - water services</v>
      </c>
      <c r="F104" s="183">
        <f>Inputs!F$94</f>
        <v>0.5</v>
      </c>
      <c r="G104" s="183" t="str">
        <f>Inputs!G$94</f>
        <v>%</v>
      </c>
      <c r="H104" s="165"/>
      <c r="I104" s="165"/>
      <c r="J104" s="165"/>
      <c r="K104" s="165"/>
      <c r="L104" s="165"/>
      <c r="M104" s="165"/>
      <c r="N104" s="165"/>
      <c r="O104" s="165"/>
      <c r="P104" s="165"/>
      <c r="Q104" s="165"/>
      <c r="R104" s="165"/>
      <c r="S104" s="165"/>
      <c r="T104" s="165"/>
      <c r="U104" s="165"/>
    </row>
    <row r="105" spans="5:7" ht="12.75" hidden="1" outlineLevel="1">
      <c r="E105" s="166" t="s">
        <v>339</v>
      </c>
      <c r="F105" s="166">
        <f>F103*F104</f>
        <v>0</v>
      </c>
      <c r="G105" s="166" t="s">
        <v>206</v>
      </c>
    </row>
    <row r="106" spans="5:7" ht="12.75" hidden="1" outlineLevel="1">
      <c r="E106" s="166"/>
      <c r="F106" s="166"/>
      <c r="G106" s="166"/>
    </row>
    <row r="107" spans="5:7" ht="12.75" hidden="1" outlineLevel="1">
      <c r="E107" s="39" t="str">
        <f>E$101</f>
        <v>Water resources opening RCV at 2020 FYE price base</v>
      </c>
      <c r="F107" s="39">
        <f>F$101</f>
        <v>0</v>
      </c>
      <c r="G107" s="39" t="str">
        <f>G$101</f>
        <v>£m</v>
      </c>
    </row>
    <row r="108" spans="1:21" s="185" customFormat="1" ht="12.75" hidden="1" outlineLevel="1">
      <c r="A108" s="163"/>
      <c r="B108" s="163"/>
      <c r="C108" s="164"/>
      <c r="D108" s="165"/>
      <c r="E108" s="183" t="str">
        <f>Inputs!E$94</f>
        <v>% of RCV to index by RPI - water services</v>
      </c>
      <c r="F108" s="183">
        <f>Inputs!F$94</f>
        <v>0.5</v>
      </c>
      <c r="G108" s="183" t="str">
        <f>Inputs!G$94</f>
        <v>%</v>
      </c>
      <c r="H108" s="165"/>
      <c r="I108" s="165"/>
      <c r="J108" s="165"/>
      <c r="K108" s="165"/>
      <c r="L108" s="165"/>
      <c r="M108" s="165"/>
      <c r="N108" s="165"/>
      <c r="O108" s="165"/>
      <c r="P108" s="165"/>
      <c r="Q108" s="165"/>
      <c r="R108" s="165"/>
      <c r="S108" s="165"/>
      <c r="T108" s="165"/>
      <c r="U108" s="165"/>
    </row>
    <row r="109" spans="5:7" ht="12.75" hidden="1" outlineLevel="1">
      <c r="E109" s="39" t="s">
        <v>340</v>
      </c>
      <c r="F109" s="166">
        <f>F107*(1-F108)</f>
        <v>0</v>
      </c>
      <c r="G109" s="166" t="s">
        <v>206</v>
      </c>
    </row>
    <row r="110" spans="5:7" ht="12.75" hidden="1" outlineLevel="1">
      <c r="E110" s="166"/>
      <c r="F110" s="166"/>
      <c r="G110" s="166"/>
    </row>
    <row r="111" spans="5:7" ht="12.75" hidden="1" outlineLevel="1">
      <c r="E111" s="39" t="str">
        <f>E$105</f>
        <v>Water resources RPI linked RCV at 2020 FYE price base</v>
      </c>
      <c r="F111" s="39">
        <f>F$105</f>
        <v>0</v>
      </c>
      <c r="G111" s="39" t="str">
        <f>G$105</f>
        <v>£m</v>
      </c>
    </row>
    <row r="112" spans="5:7" ht="12.75" hidden="1" outlineLevel="1">
      <c r="E112" s="39" t="str">
        <f>E$109</f>
        <v>Water resources CPIH linked RCV at 2020 FYE price base</v>
      </c>
      <c r="F112" s="39">
        <f>F$109</f>
        <v>0</v>
      </c>
      <c r="G112" s="39" t="str">
        <f>G$109</f>
        <v>£m</v>
      </c>
    </row>
    <row r="113" ht="4.5" customHeight="1" hidden="1" outlineLevel="1"/>
    <row r="114" spans="1:7" s="152" customFormat="1" ht="12.75" hidden="1" outlineLevel="1">
      <c r="A114" s="191"/>
      <c r="B114" s="191"/>
      <c r="C114" s="192"/>
      <c r="D114" s="193"/>
      <c r="E114" s="194" t="str">
        <f>Indexation!E$105</f>
        <v>CPIH deflate from 2020 FYE to 2018 FYA</v>
      </c>
      <c r="F114" s="194">
        <f>Indexation!F$105</f>
        <v>0.9553372113608734</v>
      </c>
      <c r="G114" s="194" t="str">
        <f>Indexation!G$105</f>
        <v>factor</v>
      </c>
    </row>
    <row r="115" ht="4.5" customHeight="1" hidden="1" outlineLevel="1"/>
    <row r="116" spans="5:7" ht="12.75" hidden="1" outlineLevel="1">
      <c r="E116" s="245" t="s">
        <v>341</v>
      </c>
      <c r="F116" s="283">
        <f>F111*F$114</f>
        <v>0</v>
      </c>
      <c r="G116" s="4" t="s">
        <v>206</v>
      </c>
    </row>
    <row r="117" spans="1:7" s="173" customFormat="1" ht="12.75" hidden="1" outlineLevel="1">
      <c r="A117" s="171"/>
      <c r="B117" s="171"/>
      <c r="C117" s="172"/>
      <c r="E117" s="245" t="s">
        <v>342</v>
      </c>
      <c r="F117" s="283">
        <f>F112*F$114</f>
        <v>0</v>
      </c>
      <c r="G117" s="4" t="s">
        <v>206</v>
      </c>
    </row>
    <row r="118" spans="5:7" ht="12.75" hidden="1" outlineLevel="1">
      <c r="E118" s="166"/>
      <c r="F118" s="166"/>
      <c r="G118" s="166"/>
    </row>
    <row r="119" spans="1:7" s="173" customFormat="1" ht="12.75" hidden="1" outlineLevel="1">
      <c r="A119" s="171"/>
      <c r="B119" s="171"/>
      <c r="C119" s="277"/>
      <c r="D119" s="276"/>
      <c r="E119" s="245" t="str">
        <f>E82</f>
        <v>Water resources IFRS16 RCV adjustment at 2017-18 FYA CPIH deflated price base</v>
      </c>
      <c r="F119" s="245">
        <f>F82</f>
        <v>0</v>
      </c>
      <c r="G119" s="245" t="str">
        <f>G82</f>
        <v>£m</v>
      </c>
    </row>
    <row r="120" spans="1:21" s="185" customFormat="1" ht="12.75" hidden="1" outlineLevel="1">
      <c r="A120" s="163"/>
      <c r="B120" s="163"/>
      <c r="C120" s="284"/>
      <c r="E120" s="285" t="str">
        <f>Inputs!E$94</f>
        <v>% of RCV to index by RPI - water services</v>
      </c>
      <c r="F120" s="285">
        <f>Inputs!F$94</f>
        <v>0.5</v>
      </c>
      <c r="G120" s="285" t="str">
        <f>Inputs!G$94</f>
        <v>%</v>
      </c>
      <c r="H120" s="165"/>
      <c r="I120" s="165"/>
      <c r="J120" s="165"/>
      <c r="K120" s="165"/>
      <c r="L120" s="165"/>
      <c r="M120" s="165"/>
      <c r="N120" s="165"/>
      <c r="O120" s="165"/>
      <c r="P120" s="165"/>
      <c r="Q120" s="165"/>
      <c r="R120" s="165"/>
      <c r="S120" s="165"/>
      <c r="T120" s="165"/>
      <c r="U120" s="165"/>
    </row>
    <row r="121" spans="3:7" ht="12.75" hidden="1" outlineLevel="1">
      <c r="C121" s="272"/>
      <c r="D121" s="245"/>
      <c r="E121" s="248" t="s">
        <v>343</v>
      </c>
      <c r="F121" s="248">
        <f>F119*F120</f>
        <v>0</v>
      </c>
      <c r="G121" s="248" t="s">
        <v>206</v>
      </c>
    </row>
    <row r="122" spans="3:7" ht="12.75" hidden="1" outlineLevel="1">
      <c r="C122" s="272"/>
      <c r="D122" s="245"/>
      <c r="E122" s="248"/>
      <c r="F122" s="248"/>
      <c r="G122" s="248"/>
    </row>
    <row r="123" spans="1:7" s="173" customFormat="1" ht="12.75" hidden="1" outlineLevel="1">
      <c r="A123" s="171"/>
      <c r="B123" s="171"/>
      <c r="C123" s="277"/>
      <c r="D123" s="276"/>
      <c r="E123" s="245" t="str">
        <f>E82</f>
        <v>Water resources IFRS16 RCV adjustment at 2017-18 FYA CPIH deflated price base</v>
      </c>
      <c r="F123" s="245">
        <f>F82</f>
        <v>0</v>
      </c>
      <c r="G123" s="245" t="str">
        <f>G82</f>
        <v>£m</v>
      </c>
    </row>
    <row r="124" spans="1:21" s="185" customFormat="1" ht="12.75" hidden="1" outlineLevel="1">
      <c r="A124" s="163"/>
      <c r="B124" s="163"/>
      <c r="C124" s="284"/>
      <c r="E124" s="285" t="str">
        <f>Inputs!E$94</f>
        <v>% of RCV to index by RPI - water services</v>
      </c>
      <c r="F124" s="285">
        <f>Inputs!F$94</f>
        <v>0.5</v>
      </c>
      <c r="G124" s="285" t="str">
        <f>Inputs!G$94</f>
        <v>%</v>
      </c>
      <c r="H124" s="165"/>
      <c r="I124" s="165"/>
      <c r="J124" s="165"/>
      <c r="K124" s="165"/>
      <c r="L124" s="165"/>
      <c r="M124" s="165"/>
      <c r="N124" s="165"/>
      <c r="O124" s="165"/>
      <c r="P124" s="165"/>
      <c r="Q124" s="165"/>
      <c r="R124" s="165"/>
      <c r="S124" s="165"/>
      <c r="T124" s="165"/>
      <c r="U124" s="165"/>
    </row>
    <row r="125" spans="3:7" ht="12.75" hidden="1" outlineLevel="1">
      <c r="C125" s="272"/>
      <c r="D125" s="245"/>
      <c r="E125" s="248" t="s">
        <v>344</v>
      </c>
      <c r="F125" s="248">
        <f>F123*(1-F124)</f>
        <v>0</v>
      </c>
      <c r="G125" s="248" t="s">
        <v>206</v>
      </c>
    </row>
    <row r="126" spans="3:7" ht="4.5" customHeight="1" hidden="1" outlineLevel="1">
      <c r="C126" s="272"/>
      <c r="D126" s="245"/>
      <c r="E126" s="244"/>
      <c r="F126" s="244"/>
      <c r="G126" s="244"/>
    </row>
    <row r="127" spans="3:7" ht="12.75" customHeight="1" hidden="1" outlineLevel="1">
      <c r="C127" s="272"/>
      <c r="D127" s="245"/>
      <c r="E127" s="244" t="str">
        <f>E116</f>
        <v>Water resources 2020 RCV RPI inflated ~ 1 April (opening balance excluding IFRS16 adjustment) at 2017-18 CPIH deflated price base</v>
      </c>
      <c r="F127" s="244">
        <f>F116</f>
        <v>0</v>
      </c>
      <c r="G127" s="244" t="str">
        <f>G116</f>
        <v>£m</v>
      </c>
    </row>
    <row r="128" spans="3:7" ht="12.75" customHeight="1" hidden="1" outlineLevel="1">
      <c r="C128" s="272"/>
      <c r="D128" s="245"/>
      <c r="E128" s="244" t="str">
        <f>E121</f>
        <v>Water resources IFRS16 adjustment RPI inflated RCV at 2017-18 FYA CPIH deflated price base</v>
      </c>
      <c r="F128" s="244">
        <f>F121</f>
        <v>0</v>
      </c>
      <c r="G128" s="244" t="str">
        <f>G121</f>
        <v>£m</v>
      </c>
    </row>
    <row r="129" spans="1:7" ht="12.75" hidden="1" outlineLevel="1">
      <c r="A129" s="173" t="s">
        <v>507</v>
      </c>
      <c r="E129" s="173" t="s">
        <v>345</v>
      </c>
      <c r="F129" s="286">
        <f>F127+F128</f>
        <v>0</v>
      </c>
      <c r="G129" s="173" t="s">
        <v>206</v>
      </c>
    </row>
    <row r="130" spans="5:7" ht="12.75" hidden="1" outlineLevel="1">
      <c r="E130" s="166"/>
      <c r="F130" s="166"/>
      <c r="G130" s="166"/>
    </row>
    <row r="131" spans="3:7" ht="12.75" customHeight="1" hidden="1" outlineLevel="1">
      <c r="C131" s="272"/>
      <c r="D131" s="245"/>
      <c r="E131" s="244" t="str">
        <f>E117</f>
        <v>Water resources 2020 RCV CPIH inflated ~ 1 April (opening balance excluding IFRS16 adjustment) at 2017-18 CPIH deflated price base</v>
      </c>
      <c r="F131" s="244">
        <f>F117</f>
        <v>0</v>
      </c>
      <c r="G131" s="244" t="str">
        <f>G117</f>
        <v>£m</v>
      </c>
    </row>
    <row r="132" spans="3:7" ht="12.75" customHeight="1" hidden="1" outlineLevel="1">
      <c r="C132" s="272"/>
      <c r="D132" s="245"/>
      <c r="E132" s="244" t="str">
        <f>E125</f>
        <v>Water resources IFRS16 adjustment CPIH inflated RCV at 2017-18 FYA CPIH deflated price base</v>
      </c>
      <c r="F132" s="244">
        <f>F125</f>
        <v>0</v>
      </c>
      <c r="G132" s="244" t="str">
        <f>G125</f>
        <v>£m</v>
      </c>
    </row>
    <row r="133" spans="1:7" s="173" customFormat="1" ht="12.75" hidden="1" outlineLevel="1">
      <c r="A133" s="173" t="s">
        <v>508</v>
      </c>
      <c r="B133" s="171"/>
      <c r="C133" s="172"/>
      <c r="E133" s="173" t="s">
        <v>346</v>
      </c>
      <c r="F133" s="286">
        <f>F131+F132</f>
        <v>0</v>
      </c>
      <c r="G133" s="173" t="s">
        <v>206</v>
      </c>
    </row>
    <row r="134" spans="5:7" ht="12.75" hidden="1" outlineLevel="1">
      <c r="E134" s="166"/>
      <c r="F134" s="166"/>
      <c r="G134" s="166"/>
    </row>
    <row r="135" spans="2:7" ht="12.75" hidden="1" outlineLevel="1">
      <c r="B135" s="35" t="s">
        <v>347</v>
      </c>
      <c r="E135" s="166"/>
      <c r="F135" s="166"/>
      <c r="G135" s="166"/>
    </row>
    <row r="136" spans="5:7" ht="12.75" hidden="1" outlineLevel="1">
      <c r="E136" s="39" t="str">
        <f>E$94</f>
        <v>Total wholesale water RCV at 31 March 2020 post midnight adjustments before allocation to price control units at 2020 FYE price base</v>
      </c>
      <c r="F136" s="39">
        <f>F$94</f>
        <v>8.182491539666408</v>
      </c>
      <c r="G136" s="39" t="str">
        <f>G$94</f>
        <v>£m</v>
      </c>
    </row>
    <row r="137" spans="1:21" s="185" customFormat="1" ht="12.75" hidden="1" outlineLevel="1">
      <c r="A137" s="183"/>
      <c r="B137" s="163"/>
      <c r="C137" s="164"/>
      <c r="D137" s="165"/>
      <c r="E137" s="183" t="str">
        <f>Inputs!E$97</f>
        <v>Water network plus % of total wholesale water RCV ~ 31 March 2020</v>
      </c>
      <c r="F137" s="183">
        <f>Inputs!F$97</f>
        <v>1</v>
      </c>
      <c r="G137" s="183" t="str">
        <f>Inputs!G$97</f>
        <v>%</v>
      </c>
      <c r="H137" s="165"/>
      <c r="I137" s="165"/>
      <c r="J137" s="165"/>
      <c r="K137" s="165"/>
      <c r="L137" s="165"/>
      <c r="M137" s="165"/>
      <c r="N137" s="165"/>
      <c r="O137" s="165"/>
      <c r="P137" s="165"/>
      <c r="Q137" s="165"/>
      <c r="R137" s="165"/>
      <c r="S137" s="165"/>
      <c r="T137" s="165"/>
      <c r="U137" s="165"/>
    </row>
    <row r="138" spans="1:21" s="245" customFormat="1" ht="12.75" hidden="1" outlineLevel="1">
      <c r="A138" s="35"/>
      <c r="B138" s="35"/>
      <c r="C138" s="34"/>
      <c r="D138" s="4"/>
      <c r="E138" s="249" t="str">
        <f>E$89</f>
        <v>Net performance payment / (penalty) applied to RCV for end of period ODI adjustments ~ Water resources at 2020 FYE price base</v>
      </c>
      <c r="F138" s="166">
        <f>F$89</f>
        <v>0</v>
      </c>
      <c r="G138" s="249" t="str">
        <f>G$89</f>
        <v>£m</v>
      </c>
      <c r="H138" s="4"/>
      <c r="I138" s="4"/>
      <c r="J138" s="4"/>
      <c r="K138" s="4"/>
      <c r="L138" s="4"/>
      <c r="M138" s="4"/>
      <c r="N138" s="4"/>
      <c r="O138" s="4"/>
      <c r="P138" s="4"/>
      <c r="Q138" s="4"/>
      <c r="R138" s="4"/>
      <c r="S138" s="4"/>
      <c r="T138" s="4"/>
      <c r="U138" s="4"/>
    </row>
    <row r="139" spans="5:7" ht="12.75" hidden="1" outlineLevel="1">
      <c r="E139" s="166" t="str">
        <f>E$90</f>
        <v>Net performance payment / (penalty) applied to RCV for end of period ODI adjustments ~ Water network plus at 2020 FYE price base</v>
      </c>
      <c r="F139" s="166">
        <f>F$90</f>
        <v>0</v>
      </c>
      <c r="G139" s="166" t="str">
        <f>G$90</f>
        <v>£m</v>
      </c>
    </row>
    <row r="140" spans="5:7" ht="12.75" hidden="1" outlineLevel="1">
      <c r="E140" s="166" t="s">
        <v>348</v>
      </c>
      <c r="F140" s="166">
        <f>(F136-F138-F139)*F137+F139</f>
        <v>8.182491539666408</v>
      </c>
      <c r="G140" s="166" t="s">
        <v>206</v>
      </c>
    </row>
    <row r="141" spans="5:7" ht="12.75" hidden="1" outlineLevel="1">
      <c r="E141" s="166"/>
      <c r="F141" s="166"/>
      <c r="G141" s="166"/>
    </row>
    <row r="142" spans="5:7" ht="12.75" hidden="1" outlineLevel="1">
      <c r="E142" s="39" t="str">
        <f>E$140</f>
        <v>Water network plus opening RCV at 2020 FYE price base</v>
      </c>
      <c r="F142" s="39">
        <f>F$140</f>
        <v>8.182491539666408</v>
      </c>
      <c r="G142" s="39" t="str">
        <f>G$140</f>
        <v>£m</v>
      </c>
    </row>
    <row r="143" spans="1:21" s="185" customFormat="1" ht="12.75" hidden="1" outlineLevel="1">
      <c r="A143" s="163"/>
      <c r="B143" s="163"/>
      <c r="C143" s="164"/>
      <c r="D143" s="165"/>
      <c r="E143" s="183" t="str">
        <f>Inputs!E$94</f>
        <v>% of RCV to index by RPI - water services</v>
      </c>
      <c r="F143" s="183">
        <f>Inputs!F$94</f>
        <v>0.5</v>
      </c>
      <c r="G143" s="183" t="str">
        <f>Inputs!G$94</f>
        <v>%</v>
      </c>
      <c r="H143" s="165"/>
      <c r="I143" s="165"/>
      <c r="J143" s="165"/>
      <c r="K143" s="165"/>
      <c r="L143" s="165"/>
      <c r="M143" s="165"/>
      <c r="N143" s="165"/>
      <c r="O143" s="165"/>
      <c r="P143" s="165"/>
      <c r="Q143" s="165"/>
      <c r="R143" s="165"/>
      <c r="S143" s="165"/>
      <c r="T143" s="165"/>
      <c r="U143" s="165"/>
    </row>
    <row r="144" spans="5:7" ht="12.75" hidden="1" outlineLevel="1">
      <c r="E144" s="166" t="s">
        <v>349</v>
      </c>
      <c r="F144" s="166">
        <f>F142*F143</f>
        <v>4.091245769833204</v>
      </c>
      <c r="G144" s="166" t="s">
        <v>206</v>
      </c>
    </row>
    <row r="145" spans="5:7" ht="12.75" hidden="1" outlineLevel="1">
      <c r="E145" s="166"/>
      <c r="F145" s="166"/>
      <c r="G145" s="166"/>
    </row>
    <row r="146" spans="5:7" ht="12.75" hidden="1" outlineLevel="1">
      <c r="E146" s="39" t="str">
        <f>E$140</f>
        <v>Water network plus opening RCV at 2020 FYE price base</v>
      </c>
      <c r="F146" s="39">
        <f>F$140</f>
        <v>8.182491539666408</v>
      </c>
      <c r="G146" s="39" t="str">
        <f>G$140</f>
        <v>£m</v>
      </c>
    </row>
    <row r="147" spans="1:21" s="185" customFormat="1" ht="12.75" hidden="1" outlineLevel="1">
      <c r="A147" s="163"/>
      <c r="B147" s="163"/>
      <c r="C147" s="164"/>
      <c r="D147" s="165"/>
      <c r="E147" s="183" t="str">
        <f>Inputs!E$94</f>
        <v>% of RCV to index by RPI - water services</v>
      </c>
      <c r="F147" s="183">
        <f>Inputs!F$94</f>
        <v>0.5</v>
      </c>
      <c r="G147" s="183" t="str">
        <f>Inputs!G$94</f>
        <v>%</v>
      </c>
      <c r="H147" s="165"/>
      <c r="I147" s="165"/>
      <c r="J147" s="165"/>
      <c r="K147" s="165"/>
      <c r="L147" s="165"/>
      <c r="M147" s="165"/>
      <c r="N147" s="165"/>
      <c r="O147" s="165"/>
      <c r="P147" s="165"/>
      <c r="Q147" s="165"/>
      <c r="R147" s="165"/>
      <c r="S147" s="165"/>
      <c r="T147" s="165"/>
      <c r="U147" s="165"/>
    </row>
    <row r="148" spans="5:7" ht="12.75" hidden="1" outlineLevel="1">
      <c r="E148" s="39" t="s">
        <v>350</v>
      </c>
      <c r="F148" s="166">
        <f>F146*(1-F147)</f>
        <v>4.091245769833204</v>
      </c>
      <c r="G148" s="166" t="s">
        <v>206</v>
      </c>
    </row>
    <row r="149" spans="5:7" ht="12.75" hidden="1" outlineLevel="1">
      <c r="E149" s="166"/>
      <c r="F149" s="166"/>
      <c r="G149" s="166"/>
    </row>
    <row r="150" spans="5:7" ht="12.75" hidden="1" outlineLevel="1">
      <c r="E150" s="39" t="str">
        <f>E$144</f>
        <v>Water network plus RPI linked RCV at 2020 FYE price base</v>
      </c>
      <c r="F150" s="39">
        <f>F$144</f>
        <v>4.091245769833204</v>
      </c>
      <c r="G150" s="39" t="str">
        <f>G$144</f>
        <v>£m</v>
      </c>
    </row>
    <row r="151" spans="5:7" ht="12.75" hidden="1" outlineLevel="1">
      <c r="E151" s="39" t="str">
        <f>E$148</f>
        <v>Water network plus CPIH linked RCV at 2020 FYE price base</v>
      </c>
      <c r="F151" s="39">
        <f>F$148</f>
        <v>4.091245769833204</v>
      </c>
      <c r="G151" s="39" t="str">
        <f>G$148</f>
        <v>£m</v>
      </c>
    </row>
    <row r="152" ht="4.5" customHeight="1" hidden="1" outlineLevel="1"/>
    <row r="153" spans="1:7" s="152" customFormat="1" ht="12.75" hidden="1" outlineLevel="1">
      <c r="A153" s="191"/>
      <c r="B153" s="191"/>
      <c r="C153" s="192"/>
      <c r="D153" s="193"/>
      <c r="E153" s="194" t="str">
        <f>Indexation!E$105</f>
        <v>CPIH deflate from 2020 FYE to 2018 FYA</v>
      </c>
      <c r="F153" s="194">
        <f>Indexation!F$105</f>
        <v>0.9553372113608734</v>
      </c>
      <c r="G153" s="194" t="str">
        <f>Indexation!G$105</f>
        <v>factor</v>
      </c>
    </row>
    <row r="154" ht="4.5" customHeight="1" hidden="1" outlineLevel="1"/>
    <row r="155" spans="5:7" ht="12.75" customHeight="1" hidden="1" outlineLevel="1">
      <c r="E155" s="244" t="s">
        <v>351</v>
      </c>
      <c r="F155">
        <f>F150*F$153</f>
        <v>3.9085193247444225</v>
      </c>
      <c r="G155" t="s">
        <v>206</v>
      </c>
    </row>
    <row r="156" spans="5:7" ht="12.75" customHeight="1" hidden="1" outlineLevel="1">
      <c r="E156" s="244" t="s">
        <v>352</v>
      </c>
      <c r="F156">
        <f>F151*F$153</f>
        <v>3.9085193247444225</v>
      </c>
      <c r="G156" t="s">
        <v>206</v>
      </c>
    </row>
    <row r="157" ht="12.75" customHeight="1" hidden="1" outlineLevel="1"/>
    <row r="158" spans="1:7" s="173" customFormat="1" ht="12.75" hidden="1" outlineLevel="1">
      <c r="A158" s="171"/>
      <c r="B158" s="171"/>
      <c r="C158" s="277"/>
      <c r="D158" s="276"/>
      <c r="E158" s="245" t="str">
        <f>E83</f>
        <v>Water network plus IFRS16 RCV adjustment at 2017-18 FYA CPIH deflated price base</v>
      </c>
      <c r="F158" s="245">
        <f>F83</f>
        <v>0</v>
      </c>
      <c r="G158" s="245" t="str">
        <f>G83</f>
        <v>£m</v>
      </c>
    </row>
    <row r="159" spans="1:21" s="185" customFormat="1" ht="12.75" hidden="1" outlineLevel="1">
      <c r="A159" s="163"/>
      <c r="B159" s="163"/>
      <c r="C159" s="284"/>
      <c r="E159" s="285" t="str">
        <f>Inputs!E$94</f>
        <v>% of RCV to index by RPI - water services</v>
      </c>
      <c r="F159" s="285">
        <f>Inputs!F$94</f>
        <v>0.5</v>
      </c>
      <c r="G159" s="285" t="str">
        <f>Inputs!G$94</f>
        <v>%</v>
      </c>
      <c r="H159" s="165"/>
      <c r="I159" s="165"/>
      <c r="J159" s="165"/>
      <c r="K159" s="165"/>
      <c r="L159" s="165"/>
      <c r="M159" s="165"/>
      <c r="N159" s="165"/>
      <c r="O159" s="165"/>
      <c r="P159" s="165"/>
      <c r="Q159" s="165"/>
      <c r="R159" s="165"/>
      <c r="S159" s="165"/>
      <c r="T159" s="165"/>
      <c r="U159" s="165"/>
    </row>
    <row r="160" spans="3:7" ht="12.75" hidden="1" outlineLevel="1">
      <c r="C160" s="272"/>
      <c r="D160" s="245"/>
      <c r="E160" s="248" t="s">
        <v>353</v>
      </c>
      <c r="F160" s="248">
        <f>F158*F159</f>
        <v>0</v>
      </c>
      <c r="G160" s="248" t="s">
        <v>206</v>
      </c>
    </row>
    <row r="161" spans="3:7" ht="12.75" hidden="1" outlineLevel="1">
      <c r="C161" s="272"/>
      <c r="D161" s="245"/>
      <c r="E161" s="248"/>
      <c r="F161" s="248"/>
      <c r="G161" s="248"/>
    </row>
    <row r="162" spans="1:7" s="173" customFormat="1" ht="12.75" hidden="1" outlineLevel="1">
      <c r="A162" s="171"/>
      <c r="B162" s="171"/>
      <c r="C162" s="277"/>
      <c r="D162" s="276"/>
      <c r="E162" s="245" t="str">
        <f>E83</f>
        <v>Water network plus IFRS16 RCV adjustment at 2017-18 FYA CPIH deflated price base</v>
      </c>
      <c r="F162" s="245">
        <f>F83</f>
        <v>0</v>
      </c>
      <c r="G162" s="245" t="str">
        <f>G83</f>
        <v>£m</v>
      </c>
    </row>
    <row r="163" spans="1:21" s="185" customFormat="1" ht="12.75" hidden="1" outlineLevel="1">
      <c r="A163" s="163"/>
      <c r="B163" s="163"/>
      <c r="C163" s="284"/>
      <c r="E163" s="285" t="str">
        <f>Inputs!E$94</f>
        <v>% of RCV to index by RPI - water services</v>
      </c>
      <c r="F163" s="285">
        <f>Inputs!F$94</f>
        <v>0.5</v>
      </c>
      <c r="G163" s="285" t="str">
        <f>Inputs!G$94</f>
        <v>%</v>
      </c>
      <c r="H163" s="165"/>
      <c r="I163" s="165"/>
      <c r="J163" s="165"/>
      <c r="K163" s="165"/>
      <c r="L163" s="165"/>
      <c r="M163" s="165"/>
      <c r="N163" s="165"/>
      <c r="O163" s="165"/>
      <c r="P163" s="165"/>
      <c r="Q163" s="165"/>
      <c r="R163" s="165"/>
      <c r="S163" s="165"/>
      <c r="T163" s="165"/>
      <c r="U163" s="165"/>
    </row>
    <row r="164" spans="3:7" ht="12.75" hidden="1" outlineLevel="1">
      <c r="C164" s="272"/>
      <c r="D164" s="245"/>
      <c r="E164" s="248" t="s">
        <v>354</v>
      </c>
      <c r="F164" s="248">
        <f>F162*(1-F163)</f>
        <v>0</v>
      </c>
      <c r="G164" s="248" t="s">
        <v>206</v>
      </c>
    </row>
    <row r="165" spans="3:7" ht="4.5" customHeight="1" hidden="1" outlineLevel="1">
      <c r="C165" s="272"/>
      <c r="D165" s="245"/>
      <c r="E165" s="244"/>
      <c r="F165" s="244"/>
      <c r="G165" s="244"/>
    </row>
    <row r="166" spans="3:7" ht="12.75" customHeight="1" hidden="1" outlineLevel="1">
      <c r="C166" s="272"/>
      <c r="D166" s="245"/>
      <c r="E166" s="244" t="str">
        <f>E155</f>
        <v>Water network plus RCV RPI inflated ~ 1 April (opening balance excluding IFRS16 adjustment) at 2017-18 CPIH deflated price base</v>
      </c>
      <c r="F166" s="244">
        <f>F155</f>
        <v>3.9085193247444225</v>
      </c>
      <c r="G166" s="244" t="str">
        <f>G155</f>
        <v>£m</v>
      </c>
    </row>
    <row r="167" spans="3:7" ht="12.75" customHeight="1" hidden="1" outlineLevel="1">
      <c r="C167" s="272"/>
      <c r="D167" s="245"/>
      <c r="E167" s="244" t="str">
        <f>E160</f>
        <v>Water network plus IFRS16 adjustment RPI inflated RCV at 2017-18 FYA CPIH deflated price base</v>
      </c>
      <c r="F167" s="244">
        <f>F160</f>
        <v>0</v>
      </c>
      <c r="G167" s="244" t="str">
        <f>G160</f>
        <v>£m</v>
      </c>
    </row>
    <row r="168" spans="1:7" ht="12.75" hidden="1" outlineLevel="1">
      <c r="A168" s="173" t="s">
        <v>510</v>
      </c>
      <c r="E168" s="173" t="s">
        <v>355</v>
      </c>
      <c r="F168" s="286">
        <f>F166+F167</f>
        <v>3.9085193247444225</v>
      </c>
      <c r="G168" s="173" t="s">
        <v>206</v>
      </c>
    </row>
    <row r="169" spans="1:3" s="4" customFormat="1" ht="12.75" hidden="1" outlineLevel="1">
      <c r="A169" s="35"/>
      <c r="B169" s="35"/>
      <c r="C169" s="34"/>
    </row>
    <row r="170" spans="1:7" s="4" customFormat="1" ht="12.75" hidden="1" outlineLevel="1">
      <c r="A170" s="35"/>
      <c r="B170" s="35"/>
      <c r="C170" s="272"/>
      <c r="D170" s="245"/>
      <c r="E170" s="245" t="str">
        <f>E156</f>
        <v>Water network plus RCV CPIH inflated ~ 1 April (opening balance excluding IFRS16 adjustment) at 2017-18 CPIH deflated price base</v>
      </c>
      <c r="F170" s="245">
        <f>F156</f>
        <v>3.9085193247444225</v>
      </c>
      <c r="G170" s="245" t="str">
        <f>G156</f>
        <v>£m</v>
      </c>
    </row>
    <row r="171" spans="1:7" s="4" customFormat="1" ht="12.75" hidden="1" outlineLevel="1">
      <c r="A171" s="35"/>
      <c r="B171" s="35"/>
      <c r="C171" s="272"/>
      <c r="D171" s="245"/>
      <c r="E171" s="245" t="str">
        <f>E164</f>
        <v>Water network plus IFRS16 adjustment CPIH inflated RCV at 2017-18 FYA CPIH deflated price base</v>
      </c>
      <c r="F171" s="245">
        <f>F164</f>
        <v>0</v>
      </c>
      <c r="G171" s="245" t="str">
        <f>G164</f>
        <v>£m</v>
      </c>
    </row>
    <row r="172" spans="1:7" ht="12.75" hidden="1" outlineLevel="1">
      <c r="A172" s="173" t="s">
        <v>509</v>
      </c>
      <c r="E172" s="173" t="s">
        <v>356</v>
      </c>
      <c r="F172" s="286">
        <f>F170+F171</f>
        <v>3.9085193247444225</v>
      </c>
      <c r="G172" s="173" t="s">
        <v>206</v>
      </c>
    </row>
    <row r="173" ht="12.75" hidden="1" outlineLevel="1"/>
    <row r="175" spans="1:21" ht="12.75" customHeight="1" collapsed="1">
      <c r="A175" s="43" t="s">
        <v>357</v>
      </c>
      <c r="B175" s="43"/>
      <c r="C175" s="44"/>
      <c r="D175" s="43"/>
      <c r="E175" s="43"/>
      <c r="F175" s="43"/>
      <c r="G175" s="43"/>
      <c r="H175" s="43"/>
      <c r="I175" s="43"/>
      <c r="J175" s="43"/>
      <c r="K175" s="43"/>
      <c r="L175" s="43"/>
      <c r="M175" s="43"/>
      <c r="N175" s="43"/>
      <c r="O175" s="43"/>
      <c r="P175" s="43"/>
      <c r="Q175" s="43"/>
      <c r="R175" s="43"/>
      <c r="S175" s="43"/>
      <c r="T175" s="43"/>
      <c r="U175" s="43"/>
    </row>
    <row r="176" ht="12.75" hidden="1" outlineLevel="1"/>
    <row r="177" ht="12.75" hidden="1" outlineLevel="1">
      <c r="B177" s="35" t="s">
        <v>358</v>
      </c>
    </row>
    <row r="178" spans="1:21" s="185" customFormat="1" ht="12.75" hidden="1" outlineLevel="1">
      <c r="A178" s="169" t="str">
        <f>Inputs!A$104</f>
        <v>APP8001WW</v>
      </c>
      <c r="B178" s="163"/>
      <c r="C178" s="164"/>
      <c r="D178" s="165"/>
      <c r="E178" s="169" t="str">
        <f>Inputs!E$104</f>
        <v>Wholesale wastewater closing RCV at 31 March 2020 in 2012-13 prices (PR14 FD)</v>
      </c>
      <c r="F178" s="169">
        <f>Inputs!F$104</f>
        <v>0</v>
      </c>
      <c r="G178" s="169" t="str">
        <f>Inputs!G$104</f>
        <v>£m</v>
      </c>
      <c r="H178" s="165"/>
      <c r="I178" s="165"/>
      <c r="J178" s="165"/>
      <c r="K178" s="165"/>
      <c r="L178" s="165"/>
      <c r="M178" s="165"/>
      <c r="N178" s="165"/>
      <c r="O178" s="165"/>
      <c r="P178" s="165"/>
      <c r="Q178" s="165"/>
      <c r="R178" s="165"/>
      <c r="S178" s="165"/>
      <c r="T178" s="165"/>
      <c r="U178" s="165"/>
    </row>
    <row r="179" spans="1:21" s="185" customFormat="1" ht="12.75" hidden="1" outlineLevel="1">
      <c r="A179" s="169" t="str">
        <f>Inputs!A$105</f>
        <v>C00579_L021</v>
      </c>
      <c r="B179" s="163"/>
      <c r="C179" s="164"/>
      <c r="D179" s="165"/>
      <c r="E179" s="169" t="str">
        <f>Inputs!E$105</f>
        <v>Wastewater ~ Total Adjustment RCV carry forward to PR19</v>
      </c>
      <c r="F179" s="169">
        <f>Inputs!F$105</f>
        <v>3.19846691531997</v>
      </c>
      <c r="G179" s="169" t="str">
        <f>Inputs!G$105</f>
        <v>£m</v>
      </c>
      <c r="H179" s="165"/>
      <c r="I179" s="165"/>
      <c r="J179" s="165"/>
      <c r="K179" s="165"/>
      <c r="L179" s="165"/>
      <c r="M179" s="165"/>
      <c r="N179" s="165"/>
      <c r="O179" s="165"/>
      <c r="P179" s="165"/>
      <c r="Q179" s="165"/>
      <c r="R179" s="165"/>
      <c r="S179" s="165"/>
      <c r="T179" s="165"/>
      <c r="U179" s="165"/>
    </row>
    <row r="180" spans="1:21" s="185" customFormat="1" ht="12.75" hidden="1" outlineLevel="1">
      <c r="A180" s="169" t="str">
        <f>Inputs!A$106</f>
        <v>APP25002</v>
      </c>
      <c r="B180" s="163"/>
      <c r="C180" s="164"/>
      <c r="D180" s="165"/>
      <c r="E180" s="169" t="str">
        <f>Inputs!E$106</f>
        <v>Wastewater ~ CIS RCV inflation correction</v>
      </c>
      <c r="F180" s="169">
        <f>Inputs!F$106</f>
        <v>-61.1749783649225</v>
      </c>
      <c r="G180" s="169" t="str">
        <f>Inputs!G$106</f>
        <v>£m</v>
      </c>
      <c r="H180" s="165"/>
      <c r="I180" s="165"/>
      <c r="J180" s="165"/>
      <c r="K180" s="165"/>
      <c r="L180" s="165"/>
      <c r="M180" s="165"/>
      <c r="N180" s="165"/>
      <c r="O180" s="165"/>
      <c r="P180" s="165"/>
      <c r="Q180" s="165"/>
      <c r="R180" s="165"/>
      <c r="S180" s="165"/>
      <c r="T180" s="165"/>
      <c r="U180" s="165"/>
    </row>
    <row r="181" spans="1:21" s="185" customFormat="1" ht="12.75" hidden="1" outlineLevel="1">
      <c r="A181" s="169" t="str">
        <f>Inputs!A$107</f>
        <v>C_APP27031_PD002</v>
      </c>
      <c r="B181" s="163"/>
      <c r="C181" s="164"/>
      <c r="D181" s="165"/>
      <c r="E181" s="169" t="str">
        <f>Inputs!E$107</f>
        <v>Net performance payment / (penalty) applied to RCV for end of period ODI adjustments ~ Wastewater network plus</v>
      </c>
      <c r="F181" s="169">
        <f>Inputs!F$107</f>
        <v>0</v>
      </c>
      <c r="G181" s="169" t="str">
        <f>Inputs!G$107</f>
        <v>£m</v>
      </c>
      <c r="H181" s="165"/>
      <c r="I181" s="165"/>
      <c r="J181" s="165"/>
      <c r="K181" s="165"/>
      <c r="L181" s="165"/>
      <c r="M181" s="165"/>
      <c r="N181" s="165"/>
      <c r="O181" s="165"/>
      <c r="P181" s="165"/>
      <c r="Q181" s="165"/>
      <c r="R181" s="165"/>
      <c r="S181" s="165"/>
      <c r="T181" s="165"/>
      <c r="U181" s="165"/>
    </row>
    <row r="182" spans="1:21" s="185" customFormat="1" ht="12.75" hidden="1" outlineLevel="1">
      <c r="A182" s="169" t="str">
        <f>Inputs!A$108</f>
        <v>C_WWS15020_PR19PD006</v>
      </c>
      <c r="B182" s="163"/>
      <c r="C182" s="164"/>
      <c r="D182" s="165"/>
      <c r="E182" s="169" t="str">
        <f>Inputs!E$108</f>
        <v>Wastewater: RCV adjustment from totex menu model</v>
      </c>
      <c r="F182" s="169">
        <f>Inputs!F$108</f>
        <v>-62.158</v>
      </c>
      <c r="G182" s="169" t="str">
        <f>Inputs!G$108</f>
        <v>£m</v>
      </c>
      <c r="H182" s="165"/>
      <c r="I182" s="165"/>
      <c r="J182" s="165"/>
      <c r="K182" s="165"/>
      <c r="L182" s="165"/>
      <c r="M182" s="165"/>
      <c r="N182" s="165"/>
      <c r="O182" s="165"/>
      <c r="P182" s="165"/>
      <c r="Q182" s="165"/>
      <c r="R182" s="165"/>
      <c r="S182" s="165"/>
      <c r="T182" s="165"/>
      <c r="U182" s="165"/>
    </row>
    <row r="183" ht="4.5" customHeight="1" hidden="1" outlineLevel="1"/>
    <row r="184" spans="1:21" s="152" customFormat="1" ht="12.75" hidden="1" outlineLevel="1">
      <c r="A184" s="191"/>
      <c r="B184" s="191"/>
      <c r="C184" s="192"/>
      <c r="D184" s="193"/>
      <c r="E184" s="194" t="str">
        <f>Indexation!E$82</f>
        <v>RPI inflate from 2013 FYA to 2020 FYE</v>
      </c>
      <c r="F184" s="194">
        <f>Indexation!F$82</f>
        <v>1.1983243077551855</v>
      </c>
      <c r="G184" s="194" t="str">
        <f>Indexation!G$82</f>
        <v>factor</v>
      </c>
      <c r="H184" s="194"/>
      <c r="I184" s="194"/>
      <c r="J184" s="194"/>
      <c r="K184" s="194"/>
      <c r="L184" s="194"/>
      <c r="M184" s="194"/>
      <c r="N184" s="194"/>
      <c r="O184" s="194"/>
      <c r="P184" s="194"/>
      <c r="Q184" s="194"/>
      <c r="R184" s="194"/>
      <c r="S184" s="194"/>
      <c r="T184" s="194"/>
      <c r="U184" s="194"/>
    </row>
    <row r="185" ht="4.5" customHeight="1" hidden="1" outlineLevel="1"/>
    <row r="186" spans="1:7" s="4" customFormat="1" ht="12.75" hidden="1" outlineLevel="1">
      <c r="A186" s="35"/>
      <c r="B186" s="35"/>
      <c r="C186" s="34"/>
      <c r="E186" s="167" t="str">
        <f>E178&amp;" at 2020 FYE price base"</f>
        <v>Wholesale wastewater closing RCV at 31 March 2020 in 2012-13 prices (PR14 FD) at 2020 FYE price base</v>
      </c>
      <c r="F186" s="167">
        <f>F178*F$184</f>
        <v>0</v>
      </c>
      <c r="G186" s="167" t="s">
        <v>206</v>
      </c>
    </row>
    <row r="187" spans="5:7" ht="12.75" hidden="1" outlineLevel="1">
      <c r="E187" s="167" t="str">
        <f>E179&amp;" at 2020 FYE price base"</f>
        <v>Wastewater ~ Total Adjustment RCV carry forward to PR19 at 2020 FYE price base</v>
      </c>
      <c r="F187" s="167">
        <f>F179*F$184</f>
        <v>3.8328006521786664</v>
      </c>
      <c r="G187" s="167" t="s">
        <v>206</v>
      </c>
    </row>
    <row r="188" spans="5:7" ht="12.75" hidden="1" outlineLevel="1">
      <c r="E188" s="167" t="str">
        <f>E180&amp;" at 2020 FYE price base"</f>
        <v>Wastewater ~ CIS RCV inflation correction at 2020 FYE price base</v>
      </c>
      <c r="F188" s="167">
        <f>F180*F$184</f>
        <v>-73.30746360108421</v>
      </c>
      <c r="G188" s="167" t="s">
        <v>206</v>
      </c>
    </row>
    <row r="189" spans="5:7" ht="12.75" hidden="1" outlineLevel="1">
      <c r="E189" s="167" t="str">
        <f>E181&amp;" at 2020 FYE price base"</f>
        <v>Net performance payment / (penalty) applied to RCV for end of period ODI adjustments ~ Wastewater network plus at 2020 FYE price base</v>
      </c>
      <c r="F189" s="167">
        <f>F181*F$184</f>
        <v>0</v>
      </c>
      <c r="G189" s="167" t="s">
        <v>206</v>
      </c>
    </row>
    <row r="190" spans="5:7" ht="12.75" hidden="1" outlineLevel="1">
      <c r="E190" s="167" t="str">
        <f>E182&amp;" at 2020 FYE price base"</f>
        <v>Wastewater: RCV adjustment from totex menu model at 2020 FYE price base</v>
      </c>
      <c r="F190" s="167">
        <f>F182*F$184</f>
        <v>-74.48544232144683</v>
      </c>
      <c r="G190" s="167" t="s">
        <v>206</v>
      </c>
    </row>
    <row r="191" spans="5:7" ht="12.75" hidden="1" outlineLevel="1">
      <c r="E191" s="169"/>
      <c r="F191" s="169"/>
      <c r="G191" s="169"/>
    </row>
    <row r="192" spans="1:7" ht="12.75" hidden="1" outlineLevel="1">
      <c r="A192" s="169" t="str">
        <f>Inputs!A$114</f>
        <v>WWS12016BIO</v>
      </c>
      <c r="E192" s="169" t="str">
        <f>Inputs!E$114</f>
        <v>Bioresources RCV (prior to midnight adjustments) 31 March 2020</v>
      </c>
      <c r="F192" s="169">
        <f>Inputs!F$114</f>
        <v>0</v>
      </c>
      <c r="G192" s="169" t="str">
        <f>Inputs!G$114</f>
        <v>£m</v>
      </c>
    </row>
    <row r="193" spans="1:21" s="185" customFormat="1" ht="12.75" hidden="1" outlineLevel="1">
      <c r="A193" s="169" t="str">
        <f>Inputs!A$109</f>
        <v>APP8009WW</v>
      </c>
      <c r="B193" s="163"/>
      <c r="C193" s="164"/>
      <c r="D193" s="165"/>
      <c r="E193" s="169" t="str">
        <f>Inputs!E$109</f>
        <v>Wastewater ~ Other adjustment to wholesale RCV</v>
      </c>
      <c r="F193" s="169">
        <f>Inputs!F$109</f>
        <v>0</v>
      </c>
      <c r="G193" s="169" t="str">
        <f>Inputs!G$109</f>
        <v>£m</v>
      </c>
      <c r="H193" s="165"/>
      <c r="I193" s="165"/>
      <c r="J193" s="165"/>
      <c r="K193" s="165"/>
      <c r="L193" s="165"/>
      <c r="M193" s="165"/>
      <c r="N193" s="165"/>
      <c r="O193" s="165"/>
      <c r="P193" s="165"/>
      <c r="Q193" s="165"/>
      <c r="R193" s="165"/>
      <c r="S193" s="165"/>
      <c r="T193" s="165"/>
      <c r="U193" s="165"/>
    </row>
    <row r="194" spans="1:21" s="186" customFormat="1" ht="12.75" hidden="1" outlineLevel="1">
      <c r="A194" s="169" t="str">
        <f>Inputs!A$110</f>
        <v>C_A7010WW_PR19PD003</v>
      </c>
      <c r="B194" s="163"/>
      <c r="C194" s="164"/>
      <c r="D194" s="165"/>
      <c r="E194" s="169" t="str">
        <f>Inputs!E$110</f>
        <v>Wastewater ~ NPV effect of 50% of proceeds from disposals of interest in land</v>
      </c>
      <c r="F194" s="169">
        <f>Inputs!F$110</f>
        <v>0.448</v>
      </c>
      <c r="G194" s="169" t="str">
        <f>Inputs!G$110</f>
        <v>£m</v>
      </c>
      <c r="H194" s="165"/>
      <c r="I194" s="165"/>
      <c r="J194" s="165"/>
      <c r="K194" s="165"/>
      <c r="L194" s="165"/>
      <c r="M194" s="165"/>
      <c r="N194" s="165"/>
      <c r="O194" s="165"/>
      <c r="P194" s="165"/>
      <c r="Q194" s="165"/>
      <c r="R194" s="165"/>
      <c r="S194" s="165"/>
      <c r="T194" s="165"/>
      <c r="U194" s="165"/>
    </row>
    <row r="195" ht="4.5" customHeight="1" hidden="1" outlineLevel="1"/>
    <row r="196" spans="1:8" s="152" customFormat="1" ht="12.75" hidden="1" outlineLevel="1">
      <c r="A196" s="191"/>
      <c r="B196" s="191"/>
      <c r="C196" s="192"/>
      <c r="D196" s="193"/>
      <c r="E196" s="194" t="str">
        <f>Indexation!E$95</f>
        <v>RPI inflate from 2018 FYE to 2020 FYE</v>
      </c>
      <c r="F196" s="194">
        <f>Indexation!F$95</f>
        <v>1.0535393460294644</v>
      </c>
      <c r="G196" s="194" t="str">
        <f>Indexation!G$95</f>
        <v>factor</v>
      </c>
      <c r="H196" s="194"/>
    </row>
    <row r="197" spans="1:8" s="152" customFormat="1" ht="12.75" hidden="1" outlineLevel="1">
      <c r="A197" s="191"/>
      <c r="B197" s="191"/>
      <c r="C197" s="192"/>
      <c r="D197" s="193"/>
      <c r="E197" s="194" t="str">
        <f>Indexation!E$89</f>
        <v>RPI inflate from 2018 FYA to 2020 FYE</v>
      </c>
      <c r="F197" s="194">
        <f>Indexation!F$89</f>
        <v>1.0665373306253598</v>
      </c>
      <c r="G197" s="194" t="str">
        <f>Indexation!G$89</f>
        <v>factor</v>
      </c>
      <c r="H197" s="194"/>
    </row>
    <row r="198" ht="4.5" customHeight="1" hidden="1" outlineLevel="1"/>
    <row r="199" spans="1:21" s="147" customFormat="1" ht="12.75" hidden="1" outlineLevel="1">
      <c r="A199" s="35"/>
      <c r="B199" s="35"/>
      <c r="C199" s="34"/>
      <c r="D199" s="4"/>
      <c r="E199" s="167" t="str">
        <f>E192&amp;" at 2020 FYE price base"</f>
        <v>Bioresources RCV (prior to midnight adjustments) 31 March 2020 at 2020 FYE price base</v>
      </c>
      <c r="F199" s="167">
        <f>F192*F196</f>
        <v>0</v>
      </c>
      <c r="G199" s="167" t="s">
        <v>206</v>
      </c>
      <c r="H199"/>
      <c r="I199" s="4"/>
      <c r="J199" s="4"/>
      <c r="K199" s="4"/>
      <c r="L199" s="4"/>
      <c r="M199" s="4"/>
      <c r="N199" s="4"/>
      <c r="O199" s="4"/>
      <c r="P199" s="4"/>
      <c r="Q199" s="4"/>
      <c r="R199" s="4"/>
      <c r="S199" s="4"/>
      <c r="T199" s="4"/>
      <c r="U199" s="4"/>
    </row>
    <row r="200" spans="1:21" s="147" customFormat="1" ht="12.75" hidden="1" outlineLevel="1">
      <c r="A200" s="35"/>
      <c r="B200" s="35"/>
      <c r="C200" s="34"/>
      <c r="D200" s="4"/>
      <c r="E200" s="167" t="str">
        <f>E193&amp;" at 2020 FYE price base"</f>
        <v>Wastewater ~ Other adjustment to wholesale RCV at 2020 FYE price base</v>
      </c>
      <c r="F200" s="167">
        <f>F193*F196</f>
        <v>0</v>
      </c>
      <c r="G200" s="167" t="s">
        <v>206</v>
      </c>
      <c r="H200"/>
      <c r="I200" s="4"/>
      <c r="J200" s="4"/>
      <c r="K200" s="4"/>
      <c r="L200" s="4"/>
      <c r="M200" s="4"/>
      <c r="N200" s="4"/>
      <c r="O200" s="4"/>
      <c r="P200" s="4"/>
      <c r="Q200" s="4"/>
      <c r="R200" s="4"/>
      <c r="S200" s="4"/>
      <c r="T200" s="4"/>
      <c r="U200" s="4"/>
    </row>
    <row r="201" spans="1:21" s="147" customFormat="1" ht="12.75" hidden="1" outlineLevel="1">
      <c r="A201" s="35"/>
      <c r="B201" s="35"/>
      <c r="C201" s="34"/>
      <c r="D201" s="4"/>
      <c r="E201" s="167" t="str">
        <f>E194&amp;" at 2020 FYE price base"</f>
        <v>Wastewater ~ NPV effect of 50% of proceeds from disposals of interest in land at 2020 FYE price base</v>
      </c>
      <c r="F201" s="167">
        <f>F194*F197</f>
        <v>0.47780872412016123</v>
      </c>
      <c r="G201" s="167" t="s">
        <v>206</v>
      </c>
      <c r="H201" s="4"/>
      <c r="I201" s="4"/>
      <c r="J201" s="4"/>
      <c r="K201" s="4"/>
      <c r="L201" s="4"/>
      <c r="M201" s="4"/>
      <c r="N201" s="4"/>
      <c r="O201" s="4"/>
      <c r="P201" s="4"/>
      <c r="Q201" s="4"/>
      <c r="R201" s="4"/>
      <c r="S201" s="4"/>
      <c r="T201" s="4"/>
      <c r="U201" s="4"/>
    </row>
    <row r="202" spans="8:21" s="147" customFormat="1" ht="12.75" hidden="1" outlineLevel="1">
      <c r="H202" s="9"/>
      <c r="I202" s="9"/>
      <c r="J202" s="9"/>
      <c r="K202" s="9"/>
      <c r="L202" s="9"/>
      <c r="M202" s="9"/>
      <c r="N202" s="9"/>
      <c r="O202" s="9"/>
      <c r="P202" s="9"/>
      <c r="Q202" s="9"/>
      <c r="R202" s="9"/>
      <c r="S202" s="9"/>
      <c r="T202" s="9"/>
      <c r="U202" s="9"/>
    </row>
    <row r="203" spans="1:21" s="147" customFormat="1" ht="12.75" hidden="1" outlineLevel="1">
      <c r="A203" s="35"/>
      <c r="B203" s="35"/>
      <c r="C203" s="34" t="s">
        <v>316</v>
      </c>
      <c r="D203" s="4"/>
      <c r="H203" s="9"/>
      <c r="I203" s="9"/>
      <c r="J203" s="9"/>
      <c r="K203" s="9"/>
      <c r="L203" s="9"/>
      <c r="M203" s="9"/>
      <c r="N203" s="9"/>
      <c r="O203" s="9"/>
      <c r="P203" s="9"/>
      <c r="Q203" s="9"/>
      <c r="R203" s="9"/>
      <c r="S203" s="9"/>
      <c r="T203" s="9"/>
      <c r="U203" s="9"/>
    </row>
    <row r="204" spans="1:21" s="147" customFormat="1" ht="12.75" hidden="1" outlineLevel="1">
      <c r="A204" s="35"/>
      <c r="B204" s="35"/>
      <c r="C204" s="34"/>
      <c r="D204" s="4"/>
      <c r="E204" s="147" t="str">
        <f>E$186</f>
        <v>Wholesale wastewater closing RCV at 31 March 2020 in 2012-13 prices (PR14 FD) at 2020 FYE price base</v>
      </c>
      <c r="F204" s="147">
        <f>F$186</f>
        <v>0</v>
      </c>
      <c r="G204" s="147" t="str">
        <f>G$186</f>
        <v>£m</v>
      </c>
      <c r="H204" s="9"/>
      <c r="I204" s="9"/>
      <c r="J204" s="9"/>
      <c r="K204" s="9"/>
      <c r="L204" s="9"/>
      <c r="M204" s="9"/>
      <c r="N204" s="9"/>
      <c r="O204" s="9"/>
      <c r="P204" s="9"/>
      <c r="Q204" s="9"/>
      <c r="R204" s="9"/>
      <c r="S204" s="9"/>
      <c r="T204" s="9"/>
      <c r="U204" s="9"/>
    </row>
    <row r="205" spans="1:21" s="147" customFormat="1" ht="12.75" hidden="1" outlineLevel="1">
      <c r="A205" s="35"/>
      <c r="B205" s="35"/>
      <c r="C205" s="34"/>
      <c r="D205" s="4"/>
      <c r="E205" s="147" t="str">
        <f>E$187</f>
        <v>Wastewater ~ Total Adjustment RCV carry forward to PR19 at 2020 FYE price base</v>
      </c>
      <c r="F205" s="147">
        <f>F$187</f>
        <v>3.8328006521786664</v>
      </c>
      <c r="G205" s="147" t="str">
        <f>G$187</f>
        <v>£m</v>
      </c>
      <c r="H205" s="9"/>
      <c r="I205" s="9"/>
      <c r="J205" s="9"/>
      <c r="K205" s="9"/>
      <c r="L205" s="9"/>
      <c r="M205" s="9"/>
      <c r="N205" s="9"/>
      <c r="O205" s="9"/>
      <c r="P205" s="9"/>
      <c r="Q205" s="9"/>
      <c r="R205" s="9"/>
      <c r="S205" s="9"/>
      <c r="T205" s="9"/>
      <c r="U205" s="9"/>
    </row>
    <row r="206" spans="1:21" s="147" customFormat="1" ht="12.75" hidden="1" outlineLevel="1">
      <c r="A206" s="35"/>
      <c r="B206" s="35"/>
      <c r="C206" s="34"/>
      <c r="D206" s="4"/>
      <c r="E206" s="147" t="str">
        <f>E$188</f>
        <v>Wastewater ~ CIS RCV inflation correction at 2020 FYE price base</v>
      </c>
      <c r="F206" s="147">
        <f>F$188</f>
        <v>-73.30746360108421</v>
      </c>
      <c r="G206" s="147" t="str">
        <f>G$188</f>
        <v>£m</v>
      </c>
      <c r="H206" s="9"/>
      <c r="I206" s="9"/>
      <c r="J206" s="9"/>
      <c r="K206" s="9"/>
      <c r="L206" s="9"/>
      <c r="M206" s="9"/>
      <c r="N206" s="9"/>
      <c r="O206" s="9"/>
      <c r="P206" s="9"/>
      <c r="Q206" s="9"/>
      <c r="R206" s="9"/>
      <c r="S206" s="9"/>
      <c r="T206" s="9"/>
      <c r="U206" s="9"/>
    </row>
    <row r="207" spans="1:21" s="147" customFormat="1" ht="12.75" hidden="1" outlineLevel="1">
      <c r="A207" s="35"/>
      <c r="B207" s="35"/>
      <c r="C207" s="34"/>
      <c r="D207" s="4"/>
      <c r="E207" s="147" t="str">
        <f>E$201</f>
        <v>Wastewater ~ NPV effect of 50% of proceeds from disposals of interest in land at 2020 FYE price base</v>
      </c>
      <c r="F207" s="147">
        <f>F$201</f>
        <v>0.47780872412016123</v>
      </c>
      <c r="G207" s="147" t="str">
        <f>G$201</f>
        <v>£m</v>
      </c>
      <c r="H207" s="9"/>
      <c r="I207" s="9"/>
      <c r="J207" s="9"/>
      <c r="K207" s="9"/>
      <c r="L207" s="9"/>
      <c r="M207" s="9"/>
      <c r="N207" s="9"/>
      <c r="O207" s="9"/>
      <c r="P207" s="9"/>
      <c r="Q207" s="9"/>
      <c r="R207" s="9"/>
      <c r="S207" s="9"/>
      <c r="T207" s="9"/>
      <c r="U207" s="9"/>
    </row>
    <row r="208" spans="1:21" s="147" customFormat="1" ht="12.75" hidden="1" outlineLevel="1">
      <c r="A208" s="35"/>
      <c r="B208" s="35"/>
      <c r="C208" s="34"/>
      <c r="D208" s="4"/>
      <c r="E208" s="147" t="str">
        <f>E$189</f>
        <v>Net performance payment / (penalty) applied to RCV for end of period ODI adjustments ~ Wastewater network plus at 2020 FYE price base</v>
      </c>
      <c r="F208" s="147">
        <f>F$189</f>
        <v>0</v>
      </c>
      <c r="G208" s="147" t="str">
        <f>G$189</f>
        <v>£m</v>
      </c>
      <c r="H208" s="9"/>
      <c r="I208" s="9"/>
      <c r="J208" s="9"/>
      <c r="K208" s="9"/>
      <c r="L208" s="9"/>
      <c r="M208" s="9"/>
      <c r="N208" s="9"/>
      <c r="O208" s="9"/>
      <c r="P208" s="9"/>
      <c r="Q208" s="9"/>
      <c r="R208" s="9"/>
      <c r="S208" s="9"/>
      <c r="T208" s="9"/>
      <c r="U208" s="9"/>
    </row>
    <row r="209" spans="1:21" s="147" customFormat="1" ht="12.75" hidden="1" outlineLevel="1">
      <c r="A209" s="35"/>
      <c r="B209" s="35"/>
      <c r="C209" s="34"/>
      <c r="D209" s="4"/>
      <c r="E209" s="147" t="str">
        <f>E$190</f>
        <v>Wastewater: RCV adjustment from totex menu model at 2020 FYE price base</v>
      </c>
      <c r="F209" s="147">
        <f>F$190</f>
        <v>-74.48544232144683</v>
      </c>
      <c r="G209" s="147" t="str">
        <f>G$190</f>
        <v>£m</v>
      </c>
      <c r="H209" s="9"/>
      <c r="I209" s="9"/>
      <c r="J209" s="9"/>
      <c r="K209" s="9"/>
      <c r="L209" s="9"/>
      <c r="M209" s="9"/>
      <c r="N209" s="9"/>
      <c r="O209" s="9"/>
      <c r="P209" s="9"/>
      <c r="Q209" s="9"/>
      <c r="R209" s="9"/>
      <c r="S209" s="9"/>
      <c r="T209" s="9"/>
      <c r="U209" s="9"/>
    </row>
    <row r="210" spans="1:21" s="147" customFormat="1" ht="12.75" hidden="1" outlineLevel="1">
      <c r="A210" s="35"/>
      <c r="B210" s="35"/>
      <c r="C210" s="34"/>
      <c r="D210" s="4"/>
      <c r="E210" s="147" t="str">
        <f>E$200</f>
        <v>Wastewater ~ Other adjustment to wholesale RCV at 2020 FYE price base</v>
      </c>
      <c r="F210" s="147">
        <f>F$200</f>
        <v>0</v>
      </c>
      <c r="G210" s="147" t="str">
        <f>G$200</f>
        <v>£m</v>
      </c>
      <c r="H210" s="9"/>
      <c r="I210" s="9"/>
      <c r="J210" s="9"/>
      <c r="K210" s="9"/>
      <c r="L210" s="9"/>
      <c r="M210" s="9"/>
      <c r="N210" s="9"/>
      <c r="O210" s="9"/>
      <c r="P210" s="9"/>
      <c r="Q210" s="9"/>
      <c r="R210" s="9"/>
      <c r="S210" s="9"/>
      <c r="T210" s="9"/>
      <c r="U210" s="9"/>
    </row>
    <row r="211" ht="4.5" customHeight="1" hidden="1" outlineLevel="1"/>
    <row r="212" spans="1:7" s="152" customFormat="1" ht="12.75" hidden="1" outlineLevel="1">
      <c r="A212" s="191"/>
      <c r="B212" s="191"/>
      <c r="C212" s="192"/>
      <c r="D212" s="193"/>
      <c r="E212" s="194" t="str">
        <f>Indexation!E$106</f>
        <v>CPIH deflate from 2020 FYE to 2018 FYE</v>
      </c>
      <c r="F212" s="194">
        <f>Indexation!F$106</f>
        <v>0.9634345841742631</v>
      </c>
      <c r="G212" s="194" t="str">
        <f>Indexation!G$106</f>
        <v>factor</v>
      </c>
    </row>
    <row r="213" ht="4.5" customHeight="1" hidden="1" outlineLevel="1"/>
    <row r="214" spans="1:7" ht="12.75" hidden="1" outlineLevel="1">
      <c r="A214" s="173" t="s">
        <v>522</v>
      </c>
      <c r="E214" s="197" t="s">
        <v>359</v>
      </c>
      <c r="F214" s="197">
        <f aca="true" t="shared" si="4" ref="F214:F220">F204*F$212</f>
        <v>0</v>
      </c>
      <c r="G214" s="197" t="s">
        <v>206</v>
      </c>
    </row>
    <row r="215" spans="1:21" s="206" customFormat="1" ht="12.75" hidden="1" outlineLevel="1">
      <c r="A215" s="173" t="s">
        <v>523</v>
      </c>
      <c r="B215" s="171"/>
      <c r="C215" s="172"/>
      <c r="D215" s="173"/>
      <c r="E215" s="197" t="s">
        <v>360</v>
      </c>
      <c r="F215" s="197">
        <f t="shared" si="4"/>
        <v>3.692652702554598</v>
      </c>
      <c r="G215" s="197" t="s">
        <v>206</v>
      </c>
      <c r="H215" s="173"/>
      <c r="I215" s="173"/>
      <c r="J215" s="173"/>
      <c r="K215" s="173"/>
      <c r="L215" s="173"/>
      <c r="M215" s="173"/>
      <c r="N215" s="173"/>
      <c r="O215" s="173"/>
      <c r="P215" s="173"/>
      <c r="Q215" s="173"/>
      <c r="R215" s="173"/>
      <c r="S215" s="173"/>
      <c r="T215" s="173"/>
      <c r="U215" s="173"/>
    </row>
    <row r="216" spans="1:21" s="206" customFormat="1" ht="12.75" hidden="1" outlineLevel="1">
      <c r="A216" s="173" t="s">
        <v>524</v>
      </c>
      <c r="B216" s="171"/>
      <c r="C216" s="172"/>
      <c r="D216" s="173"/>
      <c r="E216" s="299" t="s">
        <v>361</v>
      </c>
      <c r="F216" s="197">
        <f t="shared" si="4"/>
        <v>-70.62694571138049</v>
      </c>
      <c r="G216" s="197" t="s">
        <v>206</v>
      </c>
      <c r="H216" s="173"/>
      <c r="I216" s="173"/>
      <c r="J216" s="173"/>
      <c r="K216" s="173"/>
      <c r="L216" s="173"/>
      <c r="M216" s="173"/>
      <c r="N216" s="173"/>
      <c r="O216" s="173"/>
      <c r="P216" s="173"/>
      <c r="Q216" s="173"/>
      <c r="R216" s="173"/>
      <c r="S216" s="173"/>
      <c r="T216" s="173"/>
      <c r="U216" s="173"/>
    </row>
    <row r="217" spans="1:21" s="206" customFormat="1" ht="12.75" hidden="1" outlineLevel="1">
      <c r="A217" s="173" t="s">
        <v>525</v>
      </c>
      <c r="B217" s="171"/>
      <c r="C217" s="172"/>
      <c r="D217" s="173"/>
      <c r="E217" s="197" t="s">
        <v>362</v>
      </c>
      <c r="F217" s="197">
        <f t="shared" si="4"/>
        <v>0.46033744943754273</v>
      </c>
      <c r="G217" s="197" t="s">
        <v>206</v>
      </c>
      <c r="H217" s="173"/>
      <c r="I217" s="173"/>
      <c r="J217" s="173"/>
      <c r="K217" s="173"/>
      <c r="L217" s="173"/>
      <c r="M217" s="173"/>
      <c r="N217" s="173"/>
      <c r="O217" s="173"/>
      <c r="P217" s="173"/>
      <c r="Q217" s="173"/>
      <c r="R217" s="173"/>
      <c r="S217" s="173"/>
      <c r="T217" s="173"/>
      <c r="U217" s="173"/>
    </row>
    <row r="218" spans="1:21" s="206" customFormat="1" ht="12.75" hidden="1" outlineLevel="1">
      <c r="A218" s="173" t="s">
        <v>526</v>
      </c>
      <c r="B218" s="171"/>
      <c r="C218" s="172"/>
      <c r="D218" s="173"/>
      <c r="E218" s="197" t="s">
        <v>363</v>
      </c>
      <c r="F218" s="197">
        <f t="shared" si="4"/>
        <v>0</v>
      </c>
      <c r="G218" s="197" t="s">
        <v>206</v>
      </c>
      <c r="H218" s="173"/>
      <c r="I218" s="173"/>
      <c r="J218" s="173"/>
      <c r="K218" s="173"/>
      <c r="L218" s="173"/>
      <c r="M218" s="173"/>
      <c r="N218" s="173"/>
      <c r="O218" s="173"/>
      <c r="P218" s="173"/>
      <c r="Q218" s="173"/>
      <c r="R218" s="173"/>
      <c r="S218" s="173"/>
      <c r="T218" s="173"/>
      <c r="U218" s="173"/>
    </row>
    <row r="219" spans="1:21" s="206" customFormat="1" ht="12.75" hidden="1" outlineLevel="1">
      <c r="A219" s="173" t="s">
        <v>527</v>
      </c>
      <c r="B219" s="171"/>
      <c r="C219" s="172"/>
      <c r="D219" s="173"/>
      <c r="E219" s="197" t="s">
        <v>364</v>
      </c>
      <c r="F219" s="197">
        <f t="shared" si="4"/>
        <v>-71.76185114999917</v>
      </c>
      <c r="G219" s="197" t="s">
        <v>206</v>
      </c>
      <c r="H219" s="173"/>
      <c r="I219" s="173"/>
      <c r="J219" s="173"/>
      <c r="K219" s="173"/>
      <c r="L219" s="173"/>
      <c r="M219" s="173"/>
      <c r="N219" s="173"/>
      <c r="O219" s="173"/>
      <c r="P219" s="173"/>
      <c r="Q219" s="173"/>
      <c r="R219" s="173"/>
      <c r="S219" s="173"/>
      <c r="T219" s="173"/>
      <c r="U219" s="173"/>
    </row>
    <row r="220" spans="1:21" s="206" customFormat="1" ht="12.75" hidden="1" outlineLevel="1">
      <c r="A220" s="173" t="s">
        <v>511</v>
      </c>
      <c r="B220" s="171"/>
      <c r="C220" s="172"/>
      <c r="D220" s="173"/>
      <c r="E220" s="197" t="s">
        <v>365</v>
      </c>
      <c r="F220" s="197">
        <f t="shared" si="4"/>
        <v>0</v>
      </c>
      <c r="G220" s="197" t="s">
        <v>206</v>
      </c>
      <c r="H220" s="173"/>
      <c r="I220" s="173"/>
      <c r="J220" s="173"/>
      <c r="K220" s="173"/>
      <c r="L220" s="173"/>
      <c r="M220" s="173"/>
      <c r="N220" s="173"/>
      <c r="O220" s="173"/>
      <c r="P220" s="173"/>
      <c r="Q220" s="173"/>
      <c r="R220" s="173"/>
      <c r="S220" s="173"/>
      <c r="T220" s="173"/>
      <c r="U220" s="173"/>
    </row>
    <row r="221" spans="1:21" s="197" customFormat="1" ht="12.75" hidden="1" outlineLevel="1">
      <c r="A221" s="173" t="s">
        <v>512</v>
      </c>
      <c r="B221" s="171"/>
      <c r="C221" s="172"/>
      <c r="D221" s="173"/>
      <c r="E221" s="198" t="s">
        <v>366</v>
      </c>
      <c r="F221" s="198">
        <f>SUM(F214:F220)</f>
        <v>-138.23580670938753</v>
      </c>
      <c r="G221" s="198" t="s">
        <v>206</v>
      </c>
      <c r="H221" s="173"/>
      <c r="I221" s="173"/>
      <c r="J221" s="173"/>
      <c r="K221" s="173"/>
      <c r="L221" s="173"/>
      <c r="M221" s="173"/>
      <c r="N221" s="173"/>
      <c r="O221" s="173"/>
      <c r="P221" s="173"/>
      <c r="Q221" s="173"/>
      <c r="R221" s="173"/>
      <c r="S221" s="173"/>
      <c r="T221" s="173"/>
      <c r="U221" s="173"/>
    </row>
    <row r="222" spans="1:21" s="147" customFormat="1" ht="12.75" hidden="1" outlineLevel="1">
      <c r="A222" s="35"/>
      <c r="B222" s="35"/>
      <c r="C222" s="34"/>
      <c r="D222" s="4"/>
      <c r="H222" s="9"/>
      <c r="I222" s="9"/>
      <c r="J222" s="9"/>
      <c r="K222" s="9"/>
      <c r="L222" s="9"/>
      <c r="M222" s="9"/>
      <c r="N222" s="9"/>
      <c r="O222" s="9"/>
      <c r="P222" s="9"/>
      <c r="Q222" s="9"/>
      <c r="R222" s="9"/>
      <c r="S222" s="9"/>
      <c r="T222" s="9"/>
      <c r="U222" s="9"/>
    </row>
    <row r="223" spans="1:21" s="147" customFormat="1" ht="12.75" hidden="1" outlineLevel="1">
      <c r="A223" s="35"/>
      <c r="B223" s="35"/>
      <c r="C223" s="34" t="s">
        <v>326</v>
      </c>
      <c r="D223" s="4"/>
      <c r="H223" s="9"/>
      <c r="I223" s="9"/>
      <c r="J223" s="9"/>
      <c r="K223" s="9"/>
      <c r="L223" s="9"/>
      <c r="M223" s="9"/>
      <c r="N223" s="9"/>
      <c r="O223" s="9"/>
      <c r="P223" s="9"/>
      <c r="Q223" s="9"/>
      <c r="R223" s="9"/>
      <c r="S223" s="9"/>
      <c r="T223" s="9"/>
      <c r="U223" s="9"/>
    </row>
    <row r="224" spans="1:21" s="147" customFormat="1" ht="12.75" hidden="1" outlineLevel="1">
      <c r="A224" s="35"/>
      <c r="B224" s="35"/>
      <c r="C224" s="34"/>
      <c r="D224" s="4"/>
      <c r="E224" s="147" t="str">
        <f>E$187</f>
        <v>Wastewater ~ Total Adjustment RCV carry forward to PR19 at 2020 FYE price base</v>
      </c>
      <c r="F224" s="147">
        <f>F$187</f>
        <v>3.8328006521786664</v>
      </c>
      <c r="G224" s="147" t="str">
        <f>G$187</f>
        <v>£m</v>
      </c>
      <c r="H224" s="9"/>
      <c r="I224" s="9"/>
      <c r="J224" s="9"/>
      <c r="K224" s="9"/>
      <c r="L224" s="9"/>
      <c r="M224" s="9"/>
      <c r="N224" s="9"/>
      <c r="O224" s="9"/>
      <c r="P224" s="9"/>
      <c r="Q224" s="9"/>
      <c r="R224" s="9"/>
      <c r="S224" s="9"/>
      <c r="T224" s="9"/>
      <c r="U224" s="9"/>
    </row>
    <row r="225" spans="1:21" s="147" customFormat="1" ht="12.75" hidden="1" outlineLevel="1">
      <c r="A225" s="35"/>
      <c r="B225" s="35"/>
      <c r="C225" s="34"/>
      <c r="D225" s="4"/>
      <c r="E225" s="147" t="str">
        <f>E$188</f>
        <v>Wastewater ~ CIS RCV inflation correction at 2020 FYE price base</v>
      </c>
      <c r="F225" s="147">
        <f>F$188</f>
        <v>-73.30746360108421</v>
      </c>
      <c r="G225" s="147" t="str">
        <f>G$188</f>
        <v>£m</v>
      </c>
      <c r="H225" s="9"/>
      <c r="I225" s="9"/>
      <c r="J225" s="9"/>
      <c r="K225" s="9"/>
      <c r="L225" s="9"/>
      <c r="M225" s="9"/>
      <c r="N225" s="9"/>
      <c r="O225" s="9"/>
      <c r="P225" s="9"/>
      <c r="Q225" s="9"/>
      <c r="R225" s="9"/>
      <c r="S225" s="9"/>
      <c r="T225" s="9"/>
      <c r="U225" s="9"/>
    </row>
    <row r="226" spans="1:21" s="147" customFormat="1" ht="12.75" hidden="1" outlineLevel="1">
      <c r="A226" s="35"/>
      <c r="B226" s="35"/>
      <c r="C226" s="34"/>
      <c r="D226" s="4"/>
      <c r="E226" s="147" t="str">
        <f>E$201</f>
        <v>Wastewater ~ NPV effect of 50% of proceeds from disposals of interest in land at 2020 FYE price base</v>
      </c>
      <c r="F226" s="147">
        <f>F$201</f>
        <v>0.47780872412016123</v>
      </c>
      <c r="G226" s="147" t="str">
        <f>G$201</f>
        <v>£m</v>
      </c>
      <c r="H226" s="9"/>
      <c r="I226" s="9"/>
      <c r="J226" s="9"/>
      <c r="K226" s="9"/>
      <c r="L226" s="9"/>
      <c r="M226" s="9"/>
      <c r="N226" s="9"/>
      <c r="O226" s="9"/>
      <c r="P226" s="9"/>
      <c r="Q226" s="9"/>
      <c r="R226" s="9"/>
      <c r="S226" s="9"/>
      <c r="T226" s="9"/>
      <c r="U226" s="9"/>
    </row>
    <row r="227" spans="1:21" s="147" customFormat="1" ht="12.75" hidden="1" outlineLevel="1">
      <c r="A227" s="35"/>
      <c r="B227" s="35"/>
      <c r="C227" s="34"/>
      <c r="D227" s="4"/>
      <c r="E227" s="147" t="str">
        <f>E$189</f>
        <v>Net performance payment / (penalty) applied to RCV for end of period ODI adjustments ~ Wastewater network plus at 2020 FYE price base</v>
      </c>
      <c r="F227" s="147">
        <f>F$189</f>
        <v>0</v>
      </c>
      <c r="G227" s="147" t="str">
        <f>G$189</f>
        <v>£m</v>
      </c>
      <c r="H227" s="9"/>
      <c r="I227" s="9"/>
      <c r="J227" s="9"/>
      <c r="K227" s="9"/>
      <c r="L227" s="9"/>
      <c r="M227" s="9"/>
      <c r="N227" s="9"/>
      <c r="O227" s="9"/>
      <c r="P227" s="9"/>
      <c r="Q227" s="9"/>
      <c r="R227" s="9"/>
      <c r="S227" s="9"/>
      <c r="T227" s="9"/>
      <c r="U227" s="9"/>
    </row>
    <row r="228" spans="1:21" s="147" customFormat="1" ht="12.75" hidden="1" outlineLevel="1">
      <c r="A228" s="35"/>
      <c r="B228" s="35"/>
      <c r="C228" s="34"/>
      <c r="D228" s="4"/>
      <c r="E228" s="147" t="str">
        <f>E$190</f>
        <v>Wastewater: RCV adjustment from totex menu model at 2020 FYE price base</v>
      </c>
      <c r="F228" s="147">
        <f>F$190</f>
        <v>-74.48544232144683</v>
      </c>
      <c r="G228" s="147" t="str">
        <f>G$190</f>
        <v>£m</v>
      </c>
      <c r="H228" s="9"/>
      <c r="I228" s="9"/>
      <c r="J228" s="9"/>
      <c r="K228" s="9"/>
      <c r="L228" s="9"/>
      <c r="M228" s="9"/>
      <c r="N228" s="9"/>
      <c r="O228" s="9"/>
      <c r="P228" s="9"/>
      <c r="Q228" s="9"/>
      <c r="R228" s="9"/>
      <c r="S228" s="9"/>
      <c r="T228" s="9"/>
      <c r="U228" s="9"/>
    </row>
    <row r="229" spans="1:21" s="147" customFormat="1" ht="12.75" hidden="1" outlineLevel="1">
      <c r="A229" s="35"/>
      <c r="B229" s="35"/>
      <c r="C229" s="34"/>
      <c r="D229" s="4"/>
      <c r="E229" s="147" t="str">
        <f>E$200</f>
        <v>Wastewater ~ Other adjustment to wholesale RCV at 2020 FYE price base</v>
      </c>
      <c r="F229" s="147">
        <f>F$200</f>
        <v>0</v>
      </c>
      <c r="G229" s="147" t="str">
        <f>G$200</f>
        <v>£m</v>
      </c>
      <c r="H229" s="9"/>
      <c r="I229" s="9"/>
      <c r="J229" s="9"/>
      <c r="K229" s="9"/>
      <c r="L229" s="9"/>
      <c r="M229" s="9"/>
      <c r="N229" s="9"/>
      <c r="O229" s="9"/>
      <c r="P229" s="9"/>
      <c r="Q229" s="9"/>
      <c r="R229" s="9"/>
      <c r="S229" s="9"/>
      <c r="T229" s="9"/>
      <c r="U229" s="9"/>
    </row>
    <row r="230" ht="4.5" customHeight="1" hidden="1" outlineLevel="1"/>
    <row r="231" spans="1:7" s="152" customFormat="1" ht="12.75" hidden="1" outlineLevel="1">
      <c r="A231" s="191"/>
      <c r="B231" s="191"/>
      <c r="C231" s="192"/>
      <c r="D231" s="193"/>
      <c r="E231" s="194" t="str">
        <f>Indexation!E$105</f>
        <v>CPIH deflate from 2020 FYE to 2018 FYA</v>
      </c>
      <c r="F231" s="194">
        <f>Indexation!F$105</f>
        <v>0.9553372113608734</v>
      </c>
      <c r="G231" s="194" t="str">
        <f>Indexation!G$105</f>
        <v>factor</v>
      </c>
    </row>
    <row r="232" ht="4.5" customHeight="1" hidden="1" outlineLevel="1"/>
    <row r="233" spans="1:21" s="206" customFormat="1" ht="12.75" hidden="1" outlineLevel="1">
      <c r="A233" s="357" t="s">
        <v>662</v>
      </c>
      <c r="B233" s="171"/>
      <c r="C233" s="172"/>
      <c r="D233" s="173"/>
      <c r="E233" s="197" t="s">
        <v>367</v>
      </c>
      <c r="F233" s="197">
        <f aca="true" t="shared" si="5" ref="F233:F238">F224*F$231</f>
        <v>3.6616170867545037</v>
      </c>
      <c r="G233" s="197" t="s">
        <v>206</v>
      </c>
      <c r="H233" s="173"/>
      <c r="I233" s="173"/>
      <c r="J233" s="173"/>
      <c r="K233" s="173"/>
      <c r="L233" s="173"/>
      <c r="M233" s="173"/>
      <c r="N233" s="173"/>
      <c r="O233" s="173"/>
      <c r="P233" s="173"/>
      <c r="Q233" s="173"/>
      <c r="R233" s="173"/>
      <c r="S233" s="173"/>
      <c r="T233" s="173"/>
      <c r="U233" s="173"/>
    </row>
    <row r="234" spans="1:21" s="206" customFormat="1" ht="12.75" hidden="1" outlineLevel="1">
      <c r="A234" s="357" t="s">
        <v>663</v>
      </c>
      <c r="B234" s="171"/>
      <c r="C234" s="172"/>
      <c r="D234" s="173"/>
      <c r="E234" s="299" t="s">
        <v>368</v>
      </c>
      <c r="F234" s="197">
        <f t="shared" si="5"/>
        <v>-70.03334784859851</v>
      </c>
      <c r="G234" s="197" t="s">
        <v>206</v>
      </c>
      <c r="H234" s="173"/>
      <c r="I234" s="173"/>
      <c r="J234" s="173"/>
      <c r="K234" s="173"/>
      <c r="L234" s="173"/>
      <c r="M234" s="173"/>
      <c r="N234" s="173"/>
      <c r="O234" s="173"/>
      <c r="P234" s="173"/>
      <c r="Q234" s="173"/>
      <c r="R234" s="173"/>
      <c r="S234" s="173"/>
      <c r="T234" s="173"/>
      <c r="U234" s="173"/>
    </row>
    <row r="235" spans="1:21" s="206" customFormat="1" ht="12.75" hidden="1" outlineLevel="1">
      <c r="A235" s="357" t="s">
        <v>671</v>
      </c>
      <c r="B235" s="171"/>
      <c r="C235" s="172"/>
      <c r="D235" s="173"/>
      <c r="E235" s="197" t="s">
        <v>369</v>
      </c>
      <c r="F235" s="197">
        <f t="shared" si="5"/>
        <v>0.4564684540648517</v>
      </c>
      <c r="G235" s="197" t="s">
        <v>206</v>
      </c>
      <c r="H235" s="173"/>
      <c r="I235" s="173"/>
      <c r="J235" s="173"/>
      <c r="K235" s="173"/>
      <c r="L235" s="173"/>
      <c r="M235" s="173"/>
      <c r="N235" s="173"/>
      <c r="O235" s="173"/>
      <c r="P235" s="173"/>
      <c r="Q235" s="173"/>
      <c r="R235" s="173"/>
      <c r="S235" s="173"/>
      <c r="T235" s="173"/>
      <c r="U235" s="173"/>
    </row>
    <row r="236" spans="1:21" s="206" customFormat="1" ht="12.75" hidden="1" outlineLevel="1">
      <c r="A236" s="173" t="s">
        <v>689</v>
      </c>
      <c r="B236" s="171"/>
      <c r="C236" s="172"/>
      <c r="D236" s="173"/>
      <c r="E236" s="197" t="s">
        <v>370</v>
      </c>
      <c r="F236" s="197">
        <f t="shared" si="5"/>
        <v>0</v>
      </c>
      <c r="G236" s="197" t="s">
        <v>206</v>
      </c>
      <c r="H236" s="173"/>
      <c r="I236" s="173"/>
      <c r="J236" s="173"/>
      <c r="K236" s="173"/>
      <c r="L236" s="173"/>
      <c r="M236" s="173"/>
      <c r="N236" s="173"/>
      <c r="O236" s="173"/>
      <c r="P236" s="173"/>
      <c r="Q236" s="173"/>
      <c r="R236" s="173"/>
      <c r="S236" s="173"/>
      <c r="T236" s="173"/>
      <c r="U236" s="173"/>
    </row>
    <row r="237" spans="1:21" s="206" customFormat="1" ht="12.75" hidden="1" outlineLevel="1">
      <c r="A237" s="173" t="s">
        <v>675</v>
      </c>
      <c r="B237" s="171"/>
      <c r="C237" s="172"/>
      <c r="D237" s="173"/>
      <c r="E237" s="197" t="s">
        <v>371</v>
      </c>
      <c r="F237" s="197">
        <f t="shared" si="5"/>
        <v>-71.15871475435219</v>
      </c>
      <c r="G237" s="197" t="s">
        <v>206</v>
      </c>
      <c r="H237" s="173"/>
      <c r="I237" s="173"/>
      <c r="J237" s="173"/>
      <c r="K237" s="173"/>
      <c r="L237" s="173"/>
      <c r="M237" s="173"/>
      <c r="N237" s="173"/>
      <c r="O237" s="173"/>
      <c r="P237" s="173"/>
      <c r="Q237" s="173"/>
      <c r="R237" s="173"/>
      <c r="S237" s="173"/>
      <c r="T237" s="173"/>
      <c r="U237" s="173"/>
    </row>
    <row r="238" spans="1:21" s="206" customFormat="1" ht="12.75" hidden="1" outlineLevel="1">
      <c r="A238" s="357" t="s">
        <v>685</v>
      </c>
      <c r="B238" s="171"/>
      <c r="C238" s="172"/>
      <c r="D238" s="173"/>
      <c r="E238" s="197" t="s">
        <v>372</v>
      </c>
      <c r="F238" s="197">
        <f t="shared" si="5"/>
        <v>0</v>
      </c>
      <c r="G238" s="197" t="s">
        <v>206</v>
      </c>
      <c r="H238" s="173"/>
      <c r="I238" s="173"/>
      <c r="J238" s="173"/>
      <c r="K238" s="173"/>
      <c r="L238" s="173"/>
      <c r="M238" s="173"/>
      <c r="N238" s="173"/>
      <c r="O238" s="173"/>
      <c r="P238" s="173"/>
      <c r="Q238" s="173"/>
      <c r="R238" s="173"/>
      <c r="S238" s="173"/>
      <c r="T238" s="173"/>
      <c r="U238" s="173"/>
    </row>
    <row r="239" spans="1:21" s="206" customFormat="1" ht="12.75" hidden="1" outlineLevel="1">
      <c r="A239" s="171"/>
      <c r="B239" s="171"/>
      <c r="C239" s="172"/>
      <c r="D239" s="173"/>
      <c r="E239" s="197"/>
      <c r="F239" s="197"/>
      <c r="G239" s="197"/>
      <c r="H239" s="173"/>
      <c r="I239" s="173"/>
      <c r="J239" s="173"/>
      <c r="K239" s="173"/>
      <c r="L239" s="173"/>
      <c r="M239" s="173"/>
      <c r="N239" s="173"/>
      <c r="O239" s="173"/>
      <c r="P239" s="173"/>
      <c r="Q239" s="173"/>
      <c r="R239" s="173"/>
      <c r="S239" s="173"/>
      <c r="T239" s="173"/>
      <c r="U239" s="173"/>
    </row>
    <row r="240" spans="1:21" s="147" customFormat="1" ht="12.75" hidden="1" outlineLevel="1">
      <c r="A240" s="35"/>
      <c r="B240" s="309"/>
      <c r="C240" s="300"/>
      <c r="D240" s="301"/>
      <c r="E240" s="302" t="str">
        <f>E199</f>
        <v>Bioresources RCV (prior to midnight adjustments) 31 March 2020 at 2020 FYE price base</v>
      </c>
      <c r="F240" s="302">
        <f>F199</f>
        <v>0</v>
      </c>
      <c r="G240" s="302" t="str">
        <f>G199</f>
        <v>£m</v>
      </c>
      <c r="H240" s="9"/>
      <c r="I240" s="9"/>
      <c r="J240" s="9"/>
      <c r="K240" s="9"/>
      <c r="L240" s="9"/>
      <c r="M240" s="9"/>
      <c r="N240" s="9"/>
      <c r="O240" s="9"/>
      <c r="P240" s="9"/>
      <c r="Q240" s="9"/>
      <c r="R240" s="9"/>
      <c r="S240" s="9"/>
      <c r="T240" s="9"/>
      <c r="U240" s="9"/>
    </row>
    <row r="241" spans="2:7" ht="4.5" customHeight="1" hidden="1" outlineLevel="1">
      <c r="B241" s="309"/>
      <c r="C241" s="300"/>
      <c r="D241" s="301"/>
      <c r="E241" s="303"/>
      <c r="F241" s="303"/>
      <c r="G241" s="303"/>
    </row>
    <row r="242" spans="1:7" s="152" customFormat="1" ht="12.75" hidden="1" outlineLevel="1">
      <c r="A242" s="191"/>
      <c r="B242" s="310"/>
      <c r="C242" s="304"/>
      <c r="D242" s="305"/>
      <c r="E242" s="306" t="str">
        <f>Indexation!E$105</f>
        <v>CPIH deflate from 2020 FYE to 2018 FYA</v>
      </c>
      <c r="F242" s="306">
        <f>Indexation!F$105</f>
        <v>0.9553372113608734</v>
      </c>
      <c r="G242" s="306" t="str">
        <f>Indexation!G$105</f>
        <v>factor</v>
      </c>
    </row>
    <row r="243" spans="2:7" ht="4.5" customHeight="1" hidden="1" outlineLevel="1">
      <c r="B243" s="309"/>
      <c r="C243" s="300"/>
      <c r="D243" s="301"/>
      <c r="E243" s="303"/>
      <c r="F243" s="303"/>
      <c r="G243" s="303"/>
    </row>
    <row r="244" spans="1:21" s="197" customFormat="1" ht="12.75" hidden="1" outlineLevel="1">
      <c r="A244" s="173" t="s">
        <v>530</v>
      </c>
      <c r="B244" s="311"/>
      <c r="C244" s="307"/>
      <c r="D244" s="308"/>
      <c r="E244" s="299" t="s">
        <v>373</v>
      </c>
      <c r="F244" s="299">
        <f>F240*F$242</f>
        <v>0</v>
      </c>
      <c r="G244" s="299" t="s">
        <v>206</v>
      </c>
      <c r="H244" s="173"/>
      <c r="I244" s="173"/>
      <c r="J244" s="173"/>
      <c r="K244" s="173"/>
      <c r="L244" s="173"/>
      <c r="M244" s="173"/>
      <c r="N244" s="173"/>
      <c r="O244" s="173"/>
      <c r="P244" s="173"/>
      <c r="Q244" s="173"/>
      <c r="R244" s="173"/>
      <c r="S244" s="173"/>
      <c r="T244" s="173"/>
      <c r="U244" s="173"/>
    </row>
    <row r="245" spans="1:21" s="197" customFormat="1" ht="12.75" hidden="1" outlineLevel="1">
      <c r="A245" s="171"/>
      <c r="B245" s="171"/>
      <c r="C245" s="172"/>
      <c r="D245" s="173"/>
      <c r="H245" s="173"/>
      <c r="I245" s="173"/>
      <c r="J245" s="173"/>
      <c r="K245" s="173"/>
      <c r="L245" s="173"/>
      <c r="M245" s="173"/>
      <c r="N245" s="173"/>
      <c r="O245" s="173"/>
      <c r="P245" s="173"/>
      <c r="Q245" s="173"/>
      <c r="R245" s="173"/>
      <c r="S245" s="173"/>
      <c r="T245" s="173"/>
      <c r="U245" s="173"/>
    </row>
    <row r="246" spans="1:21" s="206" customFormat="1" ht="12.75" hidden="1" outlineLevel="1">
      <c r="A246" s="171"/>
      <c r="B246" s="275"/>
      <c r="C246" s="272" t="s">
        <v>334</v>
      </c>
      <c r="D246" s="276"/>
      <c r="E246" s="265"/>
      <c r="F246" s="265"/>
      <c r="G246" s="265"/>
      <c r="H246" s="173"/>
      <c r="I246" s="173"/>
      <c r="J246" s="173"/>
      <c r="K246" s="173"/>
      <c r="L246" s="173"/>
      <c r="M246" s="173"/>
      <c r="N246" s="173"/>
      <c r="O246" s="173"/>
      <c r="P246" s="173"/>
      <c r="Q246" s="173"/>
      <c r="R246" s="173"/>
      <c r="S246" s="173"/>
      <c r="T246" s="173"/>
      <c r="U246" s="173"/>
    </row>
    <row r="247" spans="1:21" s="206" customFormat="1" ht="12.75" hidden="1" outlineLevel="1">
      <c r="A247" s="346" t="str">
        <f>Inputs!A$116</f>
        <v>APP33021BIO</v>
      </c>
      <c r="B247" s="275"/>
      <c r="C247" s="277"/>
      <c r="D247" s="276"/>
      <c r="E247" s="278" t="str">
        <f>Inputs!E$116</f>
        <v>Bioresources IFRS16 RCV adjustment</v>
      </c>
      <c r="F247" s="278">
        <f>Inputs!F$116</f>
        <v>0</v>
      </c>
      <c r="G247" s="278" t="str">
        <f>Inputs!G$116</f>
        <v>£m</v>
      </c>
      <c r="H247" s="173"/>
      <c r="I247" s="173"/>
      <c r="J247" s="173"/>
      <c r="K247" s="173"/>
      <c r="L247" s="173"/>
      <c r="M247" s="173"/>
      <c r="N247" s="173"/>
      <c r="O247" s="173"/>
      <c r="P247" s="173"/>
      <c r="Q247" s="173"/>
      <c r="R247" s="173"/>
      <c r="S247" s="173"/>
      <c r="T247" s="173"/>
      <c r="U247" s="173"/>
    </row>
    <row r="248" spans="1:21" s="206" customFormat="1" ht="12.75" hidden="1" outlineLevel="1">
      <c r="A248" s="346" t="str">
        <f>Inputs!A$117</f>
        <v>APP33021WWNP</v>
      </c>
      <c r="B248" s="275"/>
      <c r="C248" s="277"/>
      <c r="D248" s="276"/>
      <c r="E248" s="278" t="str">
        <f>Inputs!E$117</f>
        <v>Wastewater network plus IFRS16 RCV adjustment</v>
      </c>
      <c r="F248" s="278">
        <f>Inputs!F$117</f>
        <v>0</v>
      </c>
      <c r="G248" s="278" t="str">
        <f>Inputs!G$117</f>
        <v>£m</v>
      </c>
      <c r="H248" s="173"/>
      <c r="I248" s="173"/>
      <c r="J248" s="173"/>
      <c r="K248" s="173"/>
      <c r="L248" s="173"/>
      <c r="M248" s="173"/>
      <c r="N248" s="173"/>
      <c r="O248" s="173"/>
      <c r="P248" s="173"/>
      <c r="Q248" s="173"/>
      <c r="R248" s="173"/>
      <c r="S248" s="173"/>
      <c r="T248" s="173"/>
      <c r="U248" s="173"/>
    </row>
    <row r="249" spans="2:7" ht="4.5" customHeight="1" hidden="1" outlineLevel="1">
      <c r="B249" s="271"/>
      <c r="C249" s="272"/>
      <c r="D249" s="245"/>
      <c r="E249" s="244"/>
      <c r="F249" s="244"/>
      <c r="G249" s="244"/>
    </row>
    <row r="250" spans="1:7" s="152" customFormat="1" ht="12.75" hidden="1" outlineLevel="1">
      <c r="A250" s="191"/>
      <c r="B250" s="279"/>
      <c r="C250" s="280"/>
      <c r="D250" s="281"/>
      <c r="E250" s="282" t="str">
        <f>Indexation!E$107</f>
        <v>CPIH deflate from 2018 FYE to 2018 FYA - IFRS 16</v>
      </c>
      <c r="F250" s="282">
        <f>Indexation!F$107</f>
        <v>0.9915953060577227</v>
      </c>
      <c r="G250" s="282" t="str">
        <f>Indexation!G$107</f>
        <v>factor</v>
      </c>
    </row>
    <row r="251" spans="2:7" ht="4.5" customHeight="1" hidden="1" outlineLevel="1">
      <c r="B251" s="271"/>
      <c r="C251" s="272"/>
      <c r="D251" s="245"/>
      <c r="E251" s="244"/>
      <c r="F251" s="244"/>
      <c r="G251" s="244"/>
    </row>
    <row r="252" spans="1:21" s="206" customFormat="1" ht="12.75" hidden="1" outlineLevel="1">
      <c r="A252" s="173" t="s">
        <v>528</v>
      </c>
      <c r="B252" s="275"/>
      <c r="C252" s="277"/>
      <c r="D252" s="276"/>
      <c r="E252" s="265" t="s">
        <v>374</v>
      </c>
      <c r="F252" s="265">
        <f>F247*F$250</f>
        <v>0</v>
      </c>
      <c r="G252" s="265" t="s">
        <v>206</v>
      </c>
      <c r="H252" s="173"/>
      <c r="I252" s="173"/>
      <c r="J252" s="173"/>
      <c r="K252" s="173"/>
      <c r="L252" s="173"/>
      <c r="M252" s="173"/>
      <c r="N252" s="173"/>
      <c r="O252" s="173"/>
      <c r="P252" s="173"/>
      <c r="Q252" s="173"/>
      <c r="R252" s="173"/>
      <c r="S252" s="173"/>
      <c r="T252" s="173"/>
      <c r="U252" s="173"/>
    </row>
    <row r="253" spans="1:21" s="206" customFormat="1" ht="12.75" hidden="1" outlineLevel="1">
      <c r="A253" s="173" t="s">
        <v>529</v>
      </c>
      <c r="B253" s="275"/>
      <c r="C253" s="277"/>
      <c r="D253" s="276"/>
      <c r="E253" s="265" t="s">
        <v>375</v>
      </c>
      <c r="F253" s="265">
        <f>F248*F$250</f>
        <v>0</v>
      </c>
      <c r="G253" s="265" t="s">
        <v>206</v>
      </c>
      <c r="H253" s="173"/>
      <c r="I253" s="173"/>
      <c r="J253" s="173"/>
      <c r="K253" s="173"/>
      <c r="L253" s="173"/>
      <c r="M253" s="173"/>
      <c r="N253" s="173"/>
      <c r="O253" s="173"/>
      <c r="P253" s="173"/>
      <c r="Q253" s="173"/>
      <c r="R253" s="173"/>
      <c r="S253" s="173"/>
      <c r="T253" s="173"/>
      <c r="U253" s="173"/>
    </row>
    <row r="254" spans="5:7" ht="12.75" hidden="1" outlineLevel="1">
      <c r="E254" s="169"/>
      <c r="F254" s="169"/>
      <c r="G254" s="169"/>
    </row>
    <row r="255" spans="1:21" s="147" customFormat="1" ht="12.75" hidden="1" outlineLevel="1">
      <c r="A255" s="35"/>
      <c r="B255" s="35" t="s">
        <v>376</v>
      </c>
      <c r="C255" s="34"/>
      <c r="D255" s="4"/>
      <c r="H255" s="9"/>
      <c r="I255" s="9"/>
      <c r="J255" s="9"/>
      <c r="K255" s="9"/>
      <c r="L255" s="9"/>
      <c r="M255" s="9"/>
      <c r="N255" s="9"/>
      <c r="O255" s="9"/>
      <c r="P255" s="9"/>
      <c r="Q255" s="9"/>
      <c r="R255" s="9"/>
      <c r="S255" s="9"/>
      <c r="T255" s="9"/>
      <c r="U255" s="9"/>
    </row>
    <row r="256" spans="1:21" s="166" customFormat="1" ht="12.75" hidden="1" outlineLevel="1">
      <c r="A256" s="150"/>
      <c r="B256" s="150"/>
      <c r="C256" s="151"/>
      <c r="D256" s="39"/>
      <c r="E256" s="39" t="str">
        <f>E$186</f>
        <v>Wholesale wastewater closing RCV at 31 March 2020 in 2012-13 prices (PR14 FD) at 2020 FYE price base</v>
      </c>
      <c r="F256" s="39">
        <f>F$186</f>
        <v>0</v>
      </c>
      <c r="G256" s="39" t="str">
        <f>G$186</f>
        <v>£m</v>
      </c>
      <c r="H256" s="177"/>
      <c r="I256" s="177"/>
      <c r="J256" s="177"/>
      <c r="K256" s="177"/>
      <c r="L256" s="177"/>
      <c r="M256" s="177"/>
      <c r="N256" s="177"/>
      <c r="O256" s="177"/>
      <c r="P256" s="177"/>
      <c r="Q256" s="177"/>
      <c r="R256" s="177"/>
      <c r="S256" s="177"/>
      <c r="T256" s="177"/>
      <c r="U256" s="177"/>
    </row>
    <row r="257" spans="1:21" s="166" customFormat="1" ht="12.75" hidden="1" outlineLevel="1">
      <c r="A257" s="150"/>
      <c r="B257" s="150"/>
      <c r="C257" s="151"/>
      <c r="D257" s="39"/>
      <c r="E257" s="39" t="str">
        <f>E$187</f>
        <v>Wastewater ~ Total Adjustment RCV carry forward to PR19 at 2020 FYE price base</v>
      </c>
      <c r="F257" s="39">
        <f>F$187</f>
        <v>3.8328006521786664</v>
      </c>
      <c r="G257" s="39" t="str">
        <f>G$187</f>
        <v>£m</v>
      </c>
      <c r="H257" s="177"/>
      <c r="I257" s="177"/>
      <c r="J257" s="177"/>
      <c r="K257" s="177"/>
      <c r="L257" s="177"/>
      <c r="M257" s="177"/>
      <c r="N257" s="177"/>
      <c r="O257" s="177"/>
      <c r="P257" s="177"/>
      <c r="Q257" s="177"/>
      <c r="R257" s="177"/>
      <c r="S257" s="177"/>
      <c r="T257" s="177"/>
      <c r="U257" s="177"/>
    </row>
    <row r="258" spans="1:21" s="166" customFormat="1" ht="12.75" hidden="1" outlineLevel="1">
      <c r="A258" s="150"/>
      <c r="B258" s="150"/>
      <c r="C258" s="151"/>
      <c r="D258" s="39"/>
      <c r="E258" s="39" t="str">
        <f>E$188</f>
        <v>Wastewater ~ CIS RCV inflation correction at 2020 FYE price base</v>
      </c>
      <c r="F258" s="39">
        <f>F$188</f>
        <v>-73.30746360108421</v>
      </c>
      <c r="G258" s="39" t="str">
        <f>G$188</f>
        <v>£m</v>
      </c>
      <c r="H258" s="177"/>
      <c r="I258" s="177"/>
      <c r="J258" s="177"/>
      <c r="K258" s="177"/>
      <c r="L258" s="177"/>
      <c r="M258" s="177"/>
      <c r="N258" s="177"/>
      <c r="O258" s="177"/>
      <c r="P258" s="177"/>
      <c r="Q258" s="177"/>
      <c r="R258" s="177"/>
      <c r="S258" s="177"/>
      <c r="T258" s="177"/>
      <c r="U258" s="177"/>
    </row>
    <row r="259" spans="1:21" s="166" customFormat="1" ht="12.75" hidden="1" outlineLevel="1">
      <c r="A259" s="150"/>
      <c r="B259" s="150"/>
      <c r="C259" s="151"/>
      <c r="D259" s="39"/>
      <c r="E259" s="39" t="str">
        <f>E$189</f>
        <v>Net performance payment / (penalty) applied to RCV for end of period ODI adjustments ~ Wastewater network plus at 2020 FYE price base</v>
      </c>
      <c r="F259" s="39">
        <f>F$189</f>
        <v>0</v>
      </c>
      <c r="G259" s="39" t="str">
        <f>G$189</f>
        <v>£m</v>
      </c>
      <c r="H259" s="177"/>
      <c r="I259" s="177"/>
      <c r="J259" s="177"/>
      <c r="K259" s="177"/>
      <c r="L259" s="177"/>
      <c r="M259" s="177"/>
      <c r="N259" s="177"/>
      <c r="O259" s="177"/>
      <c r="P259" s="177"/>
      <c r="Q259" s="177"/>
      <c r="R259" s="177"/>
      <c r="S259" s="177"/>
      <c r="T259" s="177"/>
      <c r="U259" s="177"/>
    </row>
    <row r="260" spans="1:21" s="166" customFormat="1" ht="12.75" hidden="1" outlineLevel="1">
      <c r="A260" s="150"/>
      <c r="B260" s="150"/>
      <c r="C260" s="151"/>
      <c r="D260" s="39"/>
      <c r="E260" s="39" t="str">
        <f>E$190</f>
        <v>Wastewater: RCV adjustment from totex menu model at 2020 FYE price base</v>
      </c>
      <c r="F260" s="39">
        <f>F$190</f>
        <v>-74.48544232144683</v>
      </c>
      <c r="G260" s="39" t="str">
        <f>G$190</f>
        <v>£m</v>
      </c>
      <c r="H260" s="177"/>
      <c r="I260" s="177"/>
      <c r="J260" s="177"/>
      <c r="K260" s="177"/>
      <c r="L260" s="177"/>
      <c r="M260" s="177"/>
      <c r="N260" s="177"/>
      <c r="O260" s="177"/>
      <c r="P260" s="177"/>
      <c r="Q260" s="177"/>
      <c r="R260" s="177"/>
      <c r="S260" s="177"/>
      <c r="T260" s="177"/>
      <c r="U260" s="177"/>
    </row>
    <row r="261" spans="1:21" s="166" customFormat="1" ht="12.75" hidden="1" outlineLevel="1">
      <c r="A261" s="150"/>
      <c r="B261" s="150"/>
      <c r="C261" s="151"/>
      <c r="D261" s="39"/>
      <c r="E261" s="39" t="str">
        <f>E$200</f>
        <v>Wastewater ~ Other adjustment to wholesale RCV at 2020 FYE price base</v>
      </c>
      <c r="F261" s="39">
        <f>F$200</f>
        <v>0</v>
      </c>
      <c r="G261" s="39" t="str">
        <f>G$200</f>
        <v>£m</v>
      </c>
      <c r="H261" s="177"/>
      <c r="I261" s="177"/>
      <c r="J261" s="177"/>
      <c r="K261" s="177"/>
      <c r="L261" s="177"/>
      <c r="M261" s="177"/>
      <c r="N261" s="177"/>
      <c r="O261" s="177"/>
      <c r="P261" s="177"/>
      <c r="Q261" s="177"/>
      <c r="R261" s="177"/>
      <c r="S261" s="177"/>
      <c r="T261" s="177"/>
      <c r="U261" s="177"/>
    </row>
    <row r="262" spans="1:21" s="166" customFormat="1" ht="12.75" hidden="1" outlineLevel="1">
      <c r="A262" s="150"/>
      <c r="B262" s="150"/>
      <c r="C262" s="151"/>
      <c r="D262" s="39"/>
      <c r="E262" s="39" t="str">
        <f>E$201</f>
        <v>Wastewater ~ NPV effect of 50% of proceeds from disposals of interest in land at 2020 FYE price base</v>
      </c>
      <c r="F262" s="39">
        <f>F$201</f>
        <v>0.47780872412016123</v>
      </c>
      <c r="G262" s="39" t="str">
        <f>G$201</f>
        <v>£m</v>
      </c>
      <c r="H262" s="177"/>
      <c r="I262" s="177"/>
      <c r="J262" s="177"/>
      <c r="K262" s="177"/>
      <c r="L262" s="177"/>
      <c r="M262" s="177"/>
      <c r="N262" s="177"/>
      <c r="O262" s="177"/>
      <c r="P262" s="177"/>
      <c r="Q262" s="177"/>
      <c r="R262" s="177"/>
      <c r="S262" s="177"/>
      <c r="T262" s="177"/>
      <c r="U262" s="177"/>
    </row>
    <row r="263" spans="1:21" s="167" customFormat="1" ht="12.75" hidden="1" outlineLevel="1">
      <c r="A263" s="35"/>
      <c r="B263" s="35"/>
      <c r="C263" s="34"/>
      <c r="D263" s="4"/>
      <c r="E263" s="250" t="s">
        <v>376</v>
      </c>
      <c r="F263" s="250">
        <f>SUM(F256:F262)</f>
        <v>-143.4822965462322</v>
      </c>
      <c r="G263" s="250" t="s">
        <v>206</v>
      </c>
      <c r="H263" s="4"/>
      <c r="I263" s="4"/>
      <c r="J263" s="4"/>
      <c r="K263" s="4"/>
      <c r="L263" s="4"/>
      <c r="M263" s="4"/>
      <c r="N263" s="4"/>
      <c r="O263" s="4"/>
      <c r="P263" s="4"/>
      <c r="Q263" s="4"/>
      <c r="R263" s="4"/>
      <c r="S263" s="4"/>
      <c r="T263" s="4"/>
      <c r="U263" s="4"/>
    </row>
    <row r="264" spans="1:21" s="147" customFormat="1" ht="12.75" hidden="1" outlineLevel="1">
      <c r="A264" s="35"/>
      <c r="B264" s="35"/>
      <c r="C264" s="34"/>
      <c r="D264" s="4"/>
      <c r="G264" s="167"/>
      <c r="H264" s="9"/>
      <c r="I264" s="9"/>
      <c r="J264" s="9"/>
      <c r="K264" s="9"/>
      <c r="L264" s="9"/>
      <c r="M264" s="9"/>
      <c r="N264" s="9"/>
      <c r="O264" s="9"/>
      <c r="P264" s="9"/>
      <c r="Q264" s="9"/>
      <c r="R264" s="9"/>
      <c r="S264" s="9"/>
      <c r="T264" s="9"/>
      <c r="U264" s="9"/>
    </row>
    <row r="265" spans="1:21" s="147" customFormat="1" ht="12.75" hidden="1" outlineLevel="1">
      <c r="A265" s="35"/>
      <c r="B265" s="35" t="s">
        <v>377</v>
      </c>
      <c r="C265" s="34"/>
      <c r="D265" s="4"/>
      <c r="G265" s="167"/>
      <c r="H265" s="9"/>
      <c r="I265" s="9"/>
      <c r="J265" s="9"/>
      <c r="K265" s="9"/>
      <c r="L265" s="9"/>
      <c r="M265" s="9"/>
      <c r="N265" s="9"/>
      <c r="O265" s="9"/>
      <c r="P265" s="9"/>
      <c r="Q265" s="9"/>
      <c r="R265" s="9"/>
      <c r="S265" s="9"/>
      <c r="T265" s="9"/>
      <c r="U265" s="9"/>
    </row>
    <row r="266" spans="5:7" ht="12.75" hidden="1" outlineLevel="1">
      <c r="E266" s="39" t="str">
        <f>E$263</f>
        <v>Total wholesale wastewater RCV at 31 March 2020 post midnight adjustments before allocation to price control units at 2020 FYE price base</v>
      </c>
      <c r="F266" s="39">
        <f>F$263</f>
        <v>-143.4822965462322</v>
      </c>
      <c r="G266" s="39" t="str">
        <f>G$263</f>
        <v>£m</v>
      </c>
    </row>
    <row r="267" spans="1:7" s="166" customFormat="1" ht="12.75" hidden="1" outlineLevel="1">
      <c r="A267" s="150"/>
      <c r="B267" s="150"/>
      <c r="C267" s="151"/>
      <c r="D267" s="39" t="s">
        <v>378</v>
      </c>
      <c r="E267" s="39" t="str">
        <f>E$199</f>
        <v>Bioresources RCV (prior to midnight adjustments) 31 March 2020 at 2020 FYE price base</v>
      </c>
      <c r="F267" s="39">
        <f>F$199</f>
        <v>0</v>
      </c>
      <c r="G267" s="39" t="str">
        <f>G$199</f>
        <v>£m</v>
      </c>
    </row>
    <row r="268" spans="5:7" ht="12.75" hidden="1" outlineLevel="1">
      <c r="E268" s="166" t="s">
        <v>379</v>
      </c>
      <c r="F268" s="166">
        <f>F266-F267</f>
        <v>-143.4822965462322</v>
      </c>
      <c r="G268" s="166" t="s">
        <v>206</v>
      </c>
    </row>
    <row r="269" spans="5:7" ht="12.75" hidden="1" outlineLevel="1">
      <c r="E269" s="166"/>
      <c r="F269" s="166"/>
      <c r="G269" s="166"/>
    </row>
    <row r="270" spans="5:7" ht="12.75" hidden="1" outlineLevel="1">
      <c r="E270" s="39" t="str">
        <f>E$268</f>
        <v>Wastewater network plus opening RCV at 2020 FYE price base</v>
      </c>
      <c r="F270" s="39">
        <f>F$268</f>
        <v>-143.4822965462322</v>
      </c>
      <c r="G270" s="39" t="str">
        <f>G$268</f>
        <v>£m</v>
      </c>
    </row>
    <row r="271" spans="1:21" s="185" customFormat="1" ht="12.75" hidden="1" outlineLevel="1">
      <c r="A271" s="163"/>
      <c r="B271" s="163"/>
      <c r="C271" s="164"/>
      <c r="D271" s="165"/>
      <c r="E271" s="183" t="str">
        <f>Inputs!E$112</f>
        <v>% of RCV to index by RPI - wastewater services</v>
      </c>
      <c r="F271" s="183">
        <f>Inputs!F$112</f>
        <v>0.5</v>
      </c>
      <c r="G271" s="183" t="str">
        <f>Inputs!G$112</f>
        <v>%</v>
      </c>
      <c r="H271" s="165"/>
      <c r="I271" s="165"/>
      <c r="J271" s="165"/>
      <c r="K271" s="165"/>
      <c r="L271" s="165"/>
      <c r="M271" s="165"/>
      <c r="N271" s="165"/>
      <c r="O271" s="165"/>
      <c r="P271" s="165"/>
      <c r="Q271" s="165"/>
      <c r="R271" s="165"/>
      <c r="S271" s="165"/>
      <c r="T271" s="165"/>
      <c r="U271" s="165"/>
    </row>
    <row r="272" spans="5:7" ht="12.75" hidden="1" outlineLevel="1">
      <c r="E272" s="166" t="s">
        <v>380</v>
      </c>
      <c r="F272" s="166">
        <f>F270*F271</f>
        <v>-71.7411482731161</v>
      </c>
      <c r="G272" s="166" t="s">
        <v>206</v>
      </c>
    </row>
    <row r="273" spans="5:7" ht="12.75" hidden="1" outlineLevel="1">
      <c r="E273" s="166"/>
      <c r="F273" s="166"/>
      <c r="G273" s="166"/>
    </row>
    <row r="274" spans="5:7" ht="12.75" hidden="1" outlineLevel="1">
      <c r="E274" s="39" t="str">
        <f>E$268</f>
        <v>Wastewater network plus opening RCV at 2020 FYE price base</v>
      </c>
      <c r="F274" s="39">
        <f>F$268</f>
        <v>-143.4822965462322</v>
      </c>
      <c r="G274" s="39" t="str">
        <f>G$268</f>
        <v>£m</v>
      </c>
    </row>
    <row r="275" spans="1:21" s="185" customFormat="1" ht="12.75" hidden="1" outlineLevel="1">
      <c r="A275" s="163"/>
      <c r="B275" s="163"/>
      <c r="C275" s="164"/>
      <c r="D275" s="165"/>
      <c r="E275" s="183" t="str">
        <f>Inputs!E$112</f>
        <v>% of RCV to index by RPI - wastewater services</v>
      </c>
      <c r="F275" s="183">
        <f>Inputs!F$112</f>
        <v>0.5</v>
      </c>
      <c r="G275" s="183" t="str">
        <f>Inputs!G$112</f>
        <v>%</v>
      </c>
      <c r="H275" s="165"/>
      <c r="I275" s="165"/>
      <c r="J275" s="165"/>
      <c r="K275" s="165"/>
      <c r="L275" s="165"/>
      <c r="M275" s="165"/>
      <c r="N275" s="165"/>
      <c r="O275" s="165"/>
      <c r="P275" s="165"/>
      <c r="Q275" s="165"/>
      <c r="R275" s="165"/>
      <c r="S275" s="165"/>
      <c r="T275" s="165"/>
      <c r="U275" s="165"/>
    </row>
    <row r="276" spans="5:7" ht="12.75" hidden="1" outlineLevel="1">
      <c r="E276" s="39" t="s">
        <v>381</v>
      </c>
      <c r="F276" s="166">
        <f>F274*(1-F275)</f>
        <v>-71.7411482731161</v>
      </c>
      <c r="G276" s="166" t="s">
        <v>206</v>
      </c>
    </row>
    <row r="277" spans="5:7" ht="12.75" hidden="1" outlineLevel="1">
      <c r="E277" s="166"/>
      <c r="F277" s="166"/>
      <c r="G277" s="166"/>
    </row>
    <row r="278" spans="5:7" ht="12.75" hidden="1" outlineLevel="1">
      <c r="E278" s="39" t="str">
        <f>E$272</f>
        <v>Wastewater network plus RPI linked RCV at 2020 FYE price base</v>
      </c>
      <c r="F278" s="39">
        <f>F$272</f>
        <v>-71.7411482731161</v>
      </c>
      <c r="G278" s="39" t="str">
        <f>G$272</f>
        <v>£m</v>
      </c>
    </row>
    <row r="279" spans="5:7" ht="12.75" hidden="1" outlineLevel="1">
      <c r="E279" s="39" t="str">
        <f>E$276</f>
        <v>Wastewater network plus CPIH linked RCV at 2020 FYE price base</v>
      </c>
      <c r="F279" s="39">
        <f>F$276</f>
        <v>-71.7411482731161</v>
      </c>
      <c r="G279" s="39" t="str">
        <f>G$276</f>
        <v>£m</v>
      </c>
    </row>
    <row r="280" ht="4.5" customHeight="1" hidden="1" outlineLevel="1"/>
    <row r="281" spans="1:7" s="152" customFormat="1" ht="12.75" hidden="1" outlineLevel="1">
      <c r="A281" s="191"/>
      <c r="B281" s="191"/>
      <c r="C281" s="192"/>
      <c r="D281" s="193"/>
      <c r="E281" s="194" t="str">
        <f>Indexation!E$105</f>
        <v>CPIH deflate from 2020 FYE to 2018 FYA</v>
      </c>
      <c r="F281" s="194">
        <f>Indexation!F$105</f>
        <v>0.9553372113608734</v>
      </c>
      <c r="G281" s="194" t="str">
        <f>Indexation!G$105</f>
        <v>factor</v>
      </c>
    </row>
    <row r="282" ht="4.5" customHeight="1" hidden="1" outlineLevel="1"/>
    <row r="283" spans="5:7" ht="12.75" customHeight="1" hidden="1" outlineLevel="1">
      <c r="E283" s="244" t="s">
        <v>382</v>
      </c>
      <c r="F283">
        <f>F278*F$281</f>
        <v>-68.53698853106566</v>
      </c>
      <c r="G283" s="39" t="str">
        <f>G$272</f>
        <v>£m</v>
      </c>
    </row>
    <row r="284" spans="5:7" ht="12.75" customHeight="1" hidden="1" outlineLevel="1">
      <c r="E284" s="244" t="s">
        <v>383</v>
      </c>
      <c r="F284">
        <f>F279*F$281</f>
        <v>-68.53698853106566</v>
      </c>
      <c r="G284" s="39" t="str">
        <f>G$276</f>
        <v>£m</v>
      </c>
    </row>
    <row r="285" ht="12.75" customHeight="1" hidden="1" outlineLevel="1"/>
    <row r="286" spans="1:7" s="173" customFormat="1" ht="12.75" hidden="1" outlineLevel="1">
      <c r="A286" s="171"/>
      <c r="B286" s="171"/>
      <c r="C286" s="277"/>
      <c r="D286" s="276"/>
      <c r="E286" s="245" t="str">
        <f>E253</f>
        <v>Wastewater network plus IFRS16 RCV adjustment at 2017-18 FYA CPIH deflated price base</v>
      </c>
      <c r="F286" s="245">
        <f>F253</f>
        <v>0</v>
      </c>
      <c r="G286" s="245" t="str">
        <f>G253</f>
        <v>£m</v>
      </c>
    </row>
    <row r="287" spans="1:21" s="185" customFormat="1" ht="12.75" hidden="1" outlineLevel="1">
      <c r="A287" s="163"/>
      <c r="B287" s="163"/>
      <c r="C287" s="284"/>
      <c r="E287" s="285" t="str">
        <f>Inputs!E$112</f>
        <v>% of RCV to index by RPI - wastewater services</v>
      </c>
      <c r="F287" s="285">
        <f>Inputs!F$112</f>
        <v>0.5</v>
      </c>
      <c r="G287" s="285" t="str">
        <f>Inputs!G$112</f>
        <v>%</v>
      </c>
      <c r="H287" s="165"/>
      <c r="I287" s="165"/>
      <c r="J287" s="165"/>
      <c r="K287" s="165"/>
      <c r="L287" s="165"/>
      <c r="M287" s="165"/>
      <c r="N287" s="165"/>
      <c r="O287" s="165"/>
      <c r="P287" s="165"/>
      <c r="Q287" s="165"/>
      <c r="R287" s="165"/>
      <c r="S287" s="165"/>
      <c r="T287" s="165"/>
      <c r="U287" s="165"/>
    </row>
    <row r="288" spans="3:7" ht="12.75" hidden="1" outlineLevel="1">
      <c r="C288" s="272"/>
      <c r="D288" s="245"/>
      <c r="E288" s="248" t="s">
        <v>384</v>
      </c>
      <c r="F288" s="248">
        <f>F286*F287</f>
        <v>0</v>
      </c>
      <c r="G288" s="248" t="s">
        <v>206</v>
      </c>
    </row>
    <row r="289" spans="3:7" ht="12.75" hidden="1" outlineLevel="1">
      <c r="C289" s="272"/>
      <c r="D289" s="245"/>
      <c r="E289" s="248"/>
      <c r="F289" s="248"/>
      <c r="G289" s="248"/>
    </row>
    <row r="290" spans="1:7" s="173" customFormat="1" ht="12.75" hidden="1" outlineLevel="1">
      <c r="A290" s="171"/>
      <c r="B290" s="171"/>
      <c r="C290" s="277"/>
      <c r="D290" s="276"/>
      <c r="E290" s="245" t="str">
        <f>E253</f>
        <v>Wastewater network plus IFRS16 RCV adjustment at 2017-18 FYA CPIH deflated price base</v>
      </c>
      <c r="F290" s="245">
        <f>F253</f>
        <v>0</v>
      </c>
      <c r="G290" s="245" t="str">
        <f>G253</f>
        <v>£m</v>
      </c>
    </row>
    <row r="291" spans="1:21" s="185" customFormat="1" ht="12.75" hidden="1" outlineLevel="1">
      <c r="A291" s="163"/>
      <c r="B291" s="163"/>
      <c r="C291" s="284"/>
      <c r="E291" s="285" t="str">
        <f>Inputs!E$112</f>
        <v>% of RCV to index by RPI - wastewater services</v>
      </c>
      <c r="F291" s="285">
        <f>Inputs!F$112</f>
        <v>0.5</v>
      </c>
      <c r="G291" s="285" t="str">
        <f>Inputs!G$112</f>
        <v>%</v>
      </c>
      <c r="H291" s="165"/>
      <c r="I291" s="165"/>
      <c r="J291" s="165"/>
      <c r="K291" s="165"/>
      <c r="L291" s="165"/>
      <c r="M291" s="165"/>
      <c r="N291" s="165"/>
      <c r="O291" s="165"/>
      <c r="P291" s="165"/>
      <c r="Q291" s="165"/>
      <c r="R291" s="165"/>
      <c r="S291" s="165"/>
      <c r="T291" s="165"/>
      <c r="U291" s="165"/>
    </row>
    <row r="292" spans="3:7" ht="12.75" hidden="1" outlineLevel="1">
      <c r="C292" s="272"/>
      <c r="D292" s="245"/>
      <c r="E292" s="248" t="s">
        <v>385</v>
      </c>
      <c r="F292" s="248">
        <f>F290*(1-F291)</f>
        <v>0</v>
      </c>
      <c r="G292" s="248" t="s">
        <v>206</v>
      </c>
    </row>
    <row r="293" spans="3:7" ht="4.5" customHeight="1" hidden="1" outlineLevel="1">
      <c r="C293" s="272"/>
      <c r="D293" s="245"/>
      <c r="E293" s="244"/>
      <c r="F293" s="244"/>
      <c r="G293" s="244"/>
    </row>
    <row r="294" spans="3:7" ht="12.75" customHeight="1" hidden="1" outlineLevel="1">
      <c r="C294" s="272"/>
      <c r="D294" s="245"/>
      <c r="E294" s="244" t="str">
        <f>E283</f>
        <v>Wastewater network plus RCV RPI inflated ~ 1 April (opening balance excluding IFRS16 adjustment) at 2017-18 CPIH deflated price base</v>
      </c>
      <c r="F294" s="244">
        <f>F283</f>
        <v>-68.53698853106566</v>
      </c>
      <c r="G294" s="244" t="str">
        <f>G283</f>
        <v>£m</v>
      </c>
    </row>
    <row r="295" spans="3:7" ht="12.75" customHeight="1" hidden="1" outlineLevel="1">
      <c r="C295" s="272"/>
      <c r="D295" s="245"/>
      <c r="E295" s="244" t="str">
        <f>E288</f>
        <v>Wastewater network plus IFRS16 adjustment RPI inflated RCV at 2017-18 FYA CPIH deflated price base</v>
      </c>
      <c r="F295" s="244">
        <f>F288</f>
        <v>0</v>
      </c>
      <c r="G295" s="244" t="str">
        <f>G288</f>
        <v>£m</v>
      </c>
    </row>
    <row r="296" spans="1:7" ht="12.75" hidden="1" outlineLevel="1">
      <c r="A296" s="173" t="s">
        <v>531</v>
      </c>
      <c r="E296" s="173" t="s">
        <v>386</v>
      </c>
      <c r="F296" s="286">
        <f>F294+F295</f>
        <v>-68.53698853106566</v>
      </c>
      <c r="G296" s="173" t="s">
        <v>206</v>
      </c>
    </row>
    <row r="297" ht="12.75" customHeight="1" hidden="1" outlineLevel="1"/>
    <row r="298" spans="3:7" ht="12.75" customHeight="1" hidden="1" outlineLevel="1">
      <c r="C298" s="272"/>
      <c r="D298" s="245"/>
      <c r="E298" s="244" t="str">
        <f>E284</f>
        <v>Wastewater network plus RCV CPIH inflated ~ 1 April (opening balance excluding IFRS16 adjustment) at 2017-18 CPIH deflated price base</v>
      </c>
      <c r="F298" s="244">
        <f>F284</f>
        <v>-68.53698853106566</v>
      </c>
      <c r="G298" s="244" t="str">
        <f>G284</f>
        <v>£m</v>
      </c>
    </row>
    <row r="299" spans="3:7" ht="12.75" customHeight="1" hidden="1" outlineLevel="1">
      <c r="C299" s="272"/>
      <c r="D299" s="245"/>
      <c r="E299" s="244" t="str">
        <f>E292</f>
        <v>Wastewater network plus IFRS16 adjustment CPIH inflated RCV at 2017-18 FYA CPIH deflated price base</v>
      </c>
      <c r="F299" s="244">
        <f>F292</f>
        <v>0</v>
      </c>
      <c r="G299" s="244" t="str">
        <f>G292</f>
        <v>£m</v>
      </c>
    </row>
    <row r="300" spans="1:7" s="173" customFormat="1" ht="12.75" hidden="1" outlineLevel="1">
      <c r="A300" s="173" t="s">
        <v>532</v>
      </c>
      <c r="B300" s="171"/>
      <c r="C300" s="172"/>
      <c r="E300" s="173" t="s">
        <v>387</v>
      </c>
      <c r="F300" s="286">
        <f>F298+F299</f>
        <v>-68.53698853106566</v>
      </c>
      <c r="G300" s="173" t="s">
        <v>206</v>
      </c>
    </row>
    <row r="301" spans="5:7" ht="12.75" hidden="1" outlineLevel="1">
      <c r="E301" s="166"/>
      <c r="F301" s="166"/>
      <c r="G301" s="166"/>
    </row>
    <row r="302" spans="2:7" ht="12.75" hidden="1" outlineLevel="1">
      <c r="B302" s="35" t="s">
        <v>388</v>
      </c>
      <c r="E302" s="166"/>
      <c r="F302" s="166"/>
      <c r="G302" s="166"/>
    </row>
    <row r="303" spans="1:7" s="166" customFormat="1" ht="12.75" hidden="1" outlineLevel="1">
      <c r="A303" s="150"/>
      <c r="B303" s="150"/>
      <c r="C303" s="151"/>
      <c r="D303" s="39"/>
      <c r="E303" s="39" t="str">
        <f>E$199</f>
        <v>Bioresources RCV (prior to midnight adjustments) 31 March 2020 at 2020 FYE price base</v>
      </c>
      <c r="F303" s="39">
        <f>F$199</f>
        <v>0</v>
      </c>
      <c r="G303" s="39" t="str">
        <f>G$199</f>
        <v>£m</v>
      </c>
    </row>
    <row r="304" spans="1:21" s="185" customFormat="1" ht="12.75" hidden="1" outlineLevel="1">
      <c r="A304" s="163"/>
      <c r="B304" s="163"/>
      <c r="C304" s="164"/>
      <c r="D304" s="165"/>
      <c r="E304" s="183" t="str">
        <f>Inputs!E$112</f>
        <v>% of RCV to index by RPI - wastewater services</v>
      </c>
      <c r="F304" s="183">
        <f>Inputs!F$112</f>
        <v>0.5</v>
      </c>
      <c r="G304" s="183" t="str">
        <f>Inputs!G$112</f>
        <v>%</v>
      </c>
      <c r="H304" s="165"/>
      <c r="I304" s="165"/>
      <c r="J304" s="165"/>
      <c r="K304" s="165"/>
      <c r="L304" s="165"/>
      <c r="M304" s="165"/>
      <c r="N304" s="165"/>
      <c r="O304" s="165"/>
      <c r="P304" s="165"/>
      <c r="Q304" s="165"/>
      <c r="R304" s="165"/>
      <c r="S304" s="165"/>
      <c r="T304" s="165"/>
      <c r="U304" s="165"/>
    </row>
    <row r="305" spans="5:7" ht="12.75" hidden="1" outlineLevel="1">
      <c r="E305" s="166" t="s">
        <v>389</v>
      </c>
      <c r="F305" s="166">
        <f>F303*F304</f>
        <v>0</v>
      </c>
      <c r="G305" s="166" t="s">
        <v>206</v>
      </c>
    </row>
    <row r="306" spans="5:7" ht="12.75" hidden="1" outlineLevel="1">
      <c r="E306" s="166"/>
      <c r="F306" s="166"/>
      <c r="G306" s="166"/>
    </row>
    <row r="307" spans="1:7" s="166" customFormat="1" ht="12.75" hidden="1" outlineLevel="1">
      <c r="A307" s="150"/>
      <c r="B307" s="150"/>
      <c r="C307" s="151"/>
      <c r="D307" s="39"/>
      <c r="E307" s="39" t="str">
        <f>E$199</f>
        <v>Bioresources RCV (prior to midnight adjustments) 31 March 2020 at 2020 FYE price base</v>
      </c>
      <c r="F307" s="39">
        <f>F$199</f>
        <v>0</v>
      </c>
      <c r="G307" s="39" t="str">
        <f>G$199</f>
        <v>£m</v>
      </c>
    </row>
    <row r="308" spans="1:21" s="185" customFormat="1" ht="12.75" hidden="1" outlineLevel="1">
      <c r="A308" s="163"/>
      <c r="B308" s="163"/>
      <c r="C308" s="164"/>
      <c r="D308" s="165"/>
      <c r="E308" s="183" t="str">
        <f>Inputs!E$112</f>
        <v>% of RCV to index by RPI - wastewater services</v>
      </c>
      <c r="F308" s="183">
        <f>Inputs!F$112</f>
        <v>0.5</v>
      </c>
      <c r="G308" s="183" t="str">
        <f>Inputs!G$112</f>
        <v>%</v>
      </c>
      <c r="H308" s="165"/>
      <c r="I308" s="165"/>
      <c r="J308" s="165"/>
      <c r="K308" s="165"/>
      <c r="L308" s="165"/>
      <c r="M308" s="165"/>
      <c r="N308" s="165"/>
      <c r="O308" s="165"/>
      <c r="P308" s="165"/>
      <c r="Q308" s="165"/>
      <c r="R308" s="165"/>
      <c r="S308" s="165"/>
      <c r="T308" s="165"/>
      <c r="U308" s="165"/>
    </row>
    <row r="309" spans="5:7" ht="12.75" hidden="1" outlineLevel="1">
      <c r="E309" s="39" t="s">
        <v>390</v>
      </c>
      <c r="F309" s="166">
        <f>F307*(1-F308)</f>
        <v>0</v>
      </c>
      <c r="G309" s="166" t="s">
        <v>206</v>
      </c>
    </row>
    <row r="310" spans="5:7" ht="12.75" hidden="1" outlineLevel="1">
      <c r="E310" s="166"/>
      <c r="F310" s="166"/>
      <c r="G310" s="166"/>
    </row>
    <row r="311" spans="5:7" ht="12.75" hidden="1" outlineLevel="1">
      <c r="E311" s="39" t="str">
        <f>E$305</f>
        <v>Bioresources RPI linked RCV at 2020 FYE price base</v>
      </c>
      <c r="F311" s="39">
        <f>F$305</f>
        <v>0</v>
      </c>
      <c r="G311" s="39" t="str">
        <f>G$305</f>
        <v>£m</v>
      </c>
    </row>
    <row r="312" spans="5:7" ht="12.75" hidden="1" outlineLevel="1">
      <c r="E312" s="39" t="str">
        <f>E$309</f>
        <v>Bioresources CPIH linked RCV at 2020 FYE price base</v>
      </c>
      <c r="F312" s="39">
        <f>F$309</f>
        <v>0</v>
      </c>
      <c r="G312" s="39" t="str">
        <f>G$309</f>
        <v>£m</v>
      </c>
    </row>
    <row r="313" ht="4.5" customHeight="1" hidden="1" outlineLevel="1"/>
    <row r="314" spans="1:7" s="152" customFormat="1" ht="12.75" hidden="1" outlineLevel="1">
      <c r="A314" s="191"/>
      <c r="B314" s="191"/>
      <c r="C314" s="192"/>
      <c r="D314" s="193"/>
      <c r="E314" s="194" t="str">
        <f>Indexation!E$105</f>
        <v>CPIH deflate from 2020 FYE to 2018 FYA</v>
      </c>
      <c r="F314" s="194">
        <f>Indexation!F$105</f>
        <v>0.9553372113608734</v>
      </c>
      <c r="G314" s="194" t="str">
        <f>Indexation!G$105</f>
        <v>factor</v>
      </c>
    </row>
    <row r="315" ht="4.5" customHeight="1" hidden="1" outlineLevel="1"/>
    <row r="316" spans="5:7" ht="12.75" customHeight="1" hidden="1" outlineLevel="1">
      <c r="E316" s="244" t="s">
        <v>391</v>
      </c>
      <c r="F316">
        <f>F311*F$314</f>
        <v>0</v>
      </c>
      <c r="G316" s="39" t="str">
        <f>G$305</f>
        <v>£m</v>
      </c>
    </row>
    <row r="317" spans="5:7" ht="12.75" customHeight="1" hidden="1" outlineLevel="1">
      <c r="E317" s="244" t="s">
        <v>392</v>
      </c>
      <c r="F317">
        <f>F312*F$314</f>
        <v>0</v>
      </c>
      <c r="G317" s="39" t="str">
        <f>G$309</f>
        <v>£m</v>
      </c>
    </row>
    <row r="318" ht="12.75" customHeight="1" hidden="1" outlineLevel="1"/>
    <row r="319" spans="1:7" s="173" customFormat="1" ht="12.75" hidden="1" outlineLevel="1">
      <c r="A319" s="171"/>
      <c r="B319" s="171"/>
      <c r="C319" s="277"/>
      <c r="D319" s="276"/>
      <c r="E319" s="245" t="str">
        <f>E252</f>
        <v>Bioresources IFRS16 RCV adjustment at 2017-18 FYA CPIH deflated price base</v>
      </c>
      <c r="F319" s="245">
        <f>F252</f>
        <v>0</v>
      </c>
      <c r="G319" s="245" t="str">
        <f>G252</f>
        <v>£m</v>
      </c>
    </row>
    <row r="320" spans="1:21" s="185" customFormat="1" ht="12.75" hidden="1" outlineLevel="1">
      <c r="A320" s="163"/>
      <c r="B320" s="163"/>
      <c r="C320" s="284"/>
      <c r="E320" s="285" t="str">
        <f>Inputs!E$112</f>
        <v>% of RCV to index by RPI - wastewater services</v>
      </c>
      <c r="F320" s="285">
        <f>Inputs!F$112</f>
        <v>0.5</v>
      </c>
      <c r="G320" s="285" t="str">
        <f>Inputs!G$112</f>
        <v>%</v>
      </c>
      <c r="H320" s="165"/>
      <c r="I320" s="165"/>
      <c r="J320" s="165"/>
      <c r="K320" s="165"/>
      <c r="L320" s="165"/>
      <c r="M320" s="165"/>
      <c r="N320" s="165"/>
      <c r="O320" s="165"/>
      <c r="P320" s="165"/>
      <c r="Q320" s="165"/>
      <c r="R320" s="165"/>
      <c r="S320" s="165"/>
      <c r="T320" s="165"/>
      <c r="U320" s="165"/>
    </row>
    <row r="321" spans="3:7" ht="12.75" hidden="1" outlineLevel="1">
      <c r="C321" s="272"/>
      <c r="D321" s="245"/>
      <c r="E321" s="248" t="s">
        <v>393</v>
      </c>
      <c r="F321" s="248">
        <f>F319*F320</f>
        <v>0</v>
      </c>
      <c r="G321" s="248" t="s">
        <v>206</v>
      </c>
    </row>
    <row r="322" spans="3:7" ht="12.75" hidden="1" outlineLevel="1">
      <c r="C322" s="272"/>
      <c r="D322" s="245"/>
      <c r="E322" s="248"/>
      <c r="F322" s="248"/>
      <c r="G322" s="248"/>
    </row>
    <row r="323" spans="1:7" s="173" customFormat="1" ht="12.75" hidden="1" outlineLevel="1">
      <c r="A323" s="171"/>
      <c r="B323" s="171"/>
      <c r="C323" s="277"/>
      <c r="D323" s="276"/>
      <c r="E323" s="245" t="str">
        <f>E252</f>
        <v>Bioresources IFRS16 RCV adjustment at 2017-18 FYA CPIH deflated price base</v>
      </c>
      <c r="F323" s="245">
        <f>F252</f>
        <v>0</v>
      </c>
      <c r="G323" s="245" t="str">
        <f>G252</f>
        <v>£m</v>
      </c>
    </row>
    <row r="324" spans="1:21" s="185" customFormat="1" ht="12.75" hidden="1" outlineLevel="1">
      <c r="A324" s="163"/>
      <c r="B324" s="163"/>
      <c r="C324" s="284"/>
      <c r="E324" s="285" t="str">
        <f>Inputs!E$112</f>
        <v>% of RCV to index by RPI - wastewater services</v>
      </c>
      <c r="F324" s="285">
        <f>Inputs!F$112</f>
        <v>0.5</v>
      </c>
      <c r="G324" s="285" t="str">
        <f>Inputs!G$112</f>
        <v>%</v>
      </c>
      <c r="H324" s="165"/>
      <c r="I324" s="165"/>
      <c r="J324" s="165"/>
      <c r="K324" s="165"/>
      <c r="L324" s="165"/>
      <c r="M324" s="165"/>
      <c r="N324" s="165"/>
      <c r="O324" s="165"/>
      <c r="P324" s="165"/>
      <c r="Q324" s="165"/>
      <c r="R324" s="165"/>
      <c r="S324" s="165"/>
      <c r="T324" s="165"/>
      <c r="U324" s="165"/>
    </row>
    <row r="325" spans="3:7" ht="12.75" hidden="1" outlineLevel="1">
      <c r="C325" s="272"/>
      <c r="D325" s="245"/>
      <c r="E325" s="248" t="s">
        <v>394</v>
      </c>
      <c r="F325" s="248">
        <f>F323*(1-F324)</f>
        <v>0</v>
      </c>
      <c r="G325" s="248" t="s">
        <v>206</v>
      </c>
    </row>
    <row r="326" spans="3:7" ht="4.5" customHeight="1" hidden="1" outlineLevel="1">
      <c r="C326" s="272"/>
      <c r="D326" s="245"/>
      <c r="E326" s="244"/>
      <c r="F326" s="244"/>
      <c r="G326" s="244"/>
    </row>
    <row r="327" spans="3:7" ht="12.75" customHeight="1" hidden="1" outlineLevel="1">
      <c r="C327" s="272"/>
      <c r="D327" s="245"/>
      <c r="E327" s="244" t="str">
        <f>E316</f>
        <v>Bioresources 2020 RCV RPI inflated ~ 1 April (opening balance excluding IFRS16 adjustment) at 2017-18 CPIH deflated price base</v>
      </c>
      <c r="F327" s="244">
        <f>F316</f>
        <v>0</v>
      </c>
      <c r="G327" s="244" t="str">
        <f>G316</f>
        <v>£m</v>
      </c>
    </row>
    <row r="328" spans="3:7" ht="12.75" customHeight="1" hidden="1" outlineLevel="1">
      <c r="C328" s="272"/>
      <c r="D328" s="245"/>
      <c r="E328" s="244" t="str">
        <f>E321</f>
        <v>Bioresources IFRS16 adjustment RPI inflated RCV at 2017-18 FYA CPIH deflated price base</v>
      </c>
      <c r="F328" s="244">
        <f>F321</f>
        <v>0</v>
      </c>
      <c r="G328" s="244" t="str">
        <f>G321</f>
        <v>£m</v>
      </c>
    </row>
    <row r="329" spans="1:7" ht="12.75" hidden="1" outlineLevel="1">
      <c r="A329" s="173" t="s">
        <v>533</v>
      </c>
      <c r="E329" s="173" t="s">
        <v>395</v>
      </c>
      <c r="F329" s="286">
        <f>F327+F328</f>
        <v>0</v>
      </c>
      <c r="G329" s="173" t="s">
        <v>206</v>
      </c>
    </row>
    <row r="330" ht="12.75" customHeight="1" hidden="1" outlineLevel="1"/>
    <row r="331" spans="3:7" ht="12.75" customHeight="1" hidden="1" outlineLevel="1">
      <c r="C331" s="272"/>
      <c r="D331" s="245"/>
      <c r="E331" s="244" t="str">
        <f>E317</f>
        <v>Bioresources 2020 RCV CPIH inflated ~ 1 April (opening balance excluding IFRS16 adjustment) at 2017-18 CPIH deflated price base</v>
      </c>
      <c r="F331" s="244">
        <f>F317</f>
        <v>0</v>
      </c>
      <c r="G331" s="244" t="str">
        <f>G317</f>
        <v>£m</v>
      </c>
    </row>
    <row r="332" spans="3:7" ht="12.75" customHeight="1" hidden="1" outlineLevel="1">
      <c r="C332" s="272"/>
      <c r="D332" s="245"/>
      <c r="E332" s="244" t="str">
        <f>E325</f>
        <v>Bioresources IFRS16 adjustment CPIH inflated RCV at 2017-18 FYA CPIH deflated price base</v>
      </c>
      <c r="F332" s="244">
        <f>F325</f>
        <v>0</v>
      </c>
      <c r="G332" s="244" t="str">
        <f>G325</f>
        <v>£m</v>
      </c>
    </row>
    <row r="333" spans="1:7" ht="12.75" hidden="1" outlineLevel="1">
      <c r="A333" s="173" t="s">
        <v>534</v>
      </c>
      <c r="E333" s="173" t="s">
        <v>396</v>
      </c>
      <c r="F333" s="286">
        <f>F331+F332</f>
        <v>0</v>
      </c>
      <c r="G333" s="173" t="s">
        <v>206</v>
      </c>
    </row>
    <row r="334" spans="5:7" ht="12.75" hidden="1" outlineLevel="1">
      <c r="E334" s="173"/>
      <c r="F334" s="184"/>
      <c r="G334" s="173"/>
    </row>
    <row r="335" spans="5:7" ht="12.75">
      <c r="E335" s="173"/>
      <c r="F335" s="184"/>
      <c r="G335" s="173"/>
    </row>
    <row r="336" spans="1:21" ht="12.75" customHeight="1" collapsed="1">
      <c r="A336" s="43" t="s">
        <v>397</v>
      </c>
      <c r="B336" s="43"/>
      <c r="C336" s="44"/>
      <c r="D336" s="43"/>
      <c r="E336" s="43"/>
      <c r="F336" s="43"/>
      <c r="G336" s="43"/>
      <c r="H336" s="43"/>
      <c r="I336" s="43"/>
      <c r="J336" s="43"/>
      <c r="K336" s="43"/>
      <c r="L336" s="43"/>
      <c r="M336" s="43"/>
      <c r="N336" s="43"/>
      <c r="O336" s="43"/>
      <c r="P336" s="43"/>
      <c r="Q336" s="43"/>
      <c r="R336" s="43"/>
      <c r="S336" s="43"/>
      <c r="T336" s="43"/>
      <c r="U336" s="43"/>
    </row>
    <row r="337" ht="12.75" hidden="1" outlineLevel="1"/>
    <row r="338" spans="2:7" ht="12.75" hidden="1" outlineLevel="1">
      <c r="B338" s="35" t="s">
        <v>398</v>
      </c>
      <c r="E338" s="173"/>
      <c r="F338" s="184"/>
      <c r="G338" s="173"/>
    </row>
    <row r="339" spans="1:21" s="246" customFormat="1" ht="12.75" hidden="1" outlineLevel="1">
      <c r="A339" s="169" t="str">
        <f>Inputs!A$121</f>
        <v>RCV1011DMMY</v>
      </c>
      <c r="B339" s="35"/>
      <c r="C339" s="34"/>
      <c r="D339" s="4"/>
      <c r="E339" s="169" t="str">
        <f>Inputs!E$121</f>
        <v>Dummy RCV (prior to midnight adjustments) 31 March 2020</v>
      </c>
      <c r="F339" s="169">
        <f>Inputs!F$121</f>
        <v>0</v>
      </c>
      <c r="G339" s="169" t="str">
        <f>Inputs!G$121</f>
        <v>£m</v>
      </c>
      <c r="H339" s="9"/>
      <c r="I339" s="9"/>
      <c r="J339" s="9"/>
      <c r="K339" s="9"/>
      <c r="L339" s="9"/>
      <c r="M339" s="9"/>
      <c r="N339" s="9"/>
      <c r="O339" s="9"/>
      <c r="P339" s="9"/>
      <c r="Q339" s="9"/>
      <c r="R339" s="9"/>
      <c r="S339" s="9"/>
      <c r="T339" s="9"/>
      <c r="U339" s="9"/>
    </row>
    <row r="340" ht="3.75" customHeight="1" hidden="1" outlineLevel="1"/>
    <row r="341" spans="1:8" s="152" customFormat="1" ht="12.75" hidden="1" outlineLevel="1">
      <c r="A341" s="191"/>
      <c r="B341" s="191"/>
      <c r="C341" s="192"/>
      <c r="D341" s="193"/>
      <c r="E341" s="194" t="str">
        <f>Indexation!E$95</f>
        <v>RPI inflate from 2018 FYE to 2020 FYE</v>
      </c>
      <c r="F341" s="194">
        <f>Indexation!F$95</f>
        <v>1.0535393460294644</v>
      </c>
      <c r="G341" s="194" t="str">
        <f>Indexation!G$95</f>
        <v>factor</v>
      </c>
      <c r="H341" s="194"/>
    </row>
    <row r="342" ht="4.5" customHeight="1" hidden="1" outlineLevel="1"/>
    <row r="343" spans="1:21" s="147" customFormat="1" ht="12.75" hidden="1" outlineLevel="1">
      <c r="A343" s="35"/>
      <c r="B343" s="35"/>
      <c r="C343" s="34"/>
      <c r="D343" s="4"/>
      <c r="E343" s="167" t="str">
        <f>E339&amp;" at 2020 FYE price base"</f>
        <v>Dummy RCV (prior to midnight adjustments) 31 March 2020 at 2020 FYE price base</v>
      </c>
      <c r="F343" s="167">
        <f>F339*F341</f>
        <v>0</v>
      </c>
      <c r="G343" s="167" t="s">
        <v>206</v>
      </c>
      <c r="H343"/>
      <c r="I343" s="4"/>
      <c r="J343" s="4"/>
      <c r="K343" s="4"/>
      <c r="L343" s="4"/>
      <c r="M343" s="4"/>
      <c r="N343" s="4"/>
      <c r="O343" s="4"/>
      <c r="P343" s="4"/>
      <c r="Q343" s="4"/>
      <c r="R343" s="4"/>
      <c r="S343" s="4"/>
      <c r="T343" s="4"/>
      <c r="U343" s="4"/>
    </row>
    <row r="344" spans="8:21" s="147" customFormat="1" ht="12.75" hidden="1" outlineLevel="1">
      <c r="H344" s="9"/>
      <c r="I344" s="9"/>
      <c r="J344" s="9"/>
      <c r="K344" s="9"/>
      <c r="L344" s="9"/>
      <c r="M344" s="9"/>
      <c r="N344" s="9"/>
      <c r="O344" s="9"/>
      <c r="P344" s="9"/>
      <c r="Q344" s="9"/>
      <c r="R344" s="9"/>
      <c r="S344" s="9"/>
      <c r="T344" s="9"/>
      <c r="U344" s="9"/>
    </row>
    <row r="345" spans="1:21" s="185" customFormat="1" ht="12.75" hidden="1" outlineLevel="1">
      <c r="A345" s="346" t="str">
        <f>Inputs!A$122</f>
        <v>C_APP27032_PD002</v>
      </c>
      <c r="B345" s="163"/>
      <c r="C345" s="164"/>
      <c r="D345" s="165"/>
      <c r="E345" s="169" t="str">
        <f>Inputs!E$122</f>
        <v>Net performance payment / (penalty) applied to RCV for end of period ODI adjustments ~ Thames Tideway</v>
      </c>
      <c r="F345" s="169">
        <f>Inputs!F$122</f>
        <v>0</v>
      </c>
      <c r="G345" s="169" t="str">
        <f>Inputs!G$122</f>
        <v>£m</v>
      </c>
      <c r="H345" s="165"/>
      <c r="I345" s="165"/>
      <c r="J345" s="165"/>
      <c r="K345" s="165"/>
      <c r="L345" s="165"/>
      <c r="M345" s="165"/>
      <c r="N345" s="165"/>
      <c r="O345" s="165"/>
      <c r="P345" s="165"/>
      <c r="Q345" s="165"/>
      <c r="R345" s="165"/>
      <c r="S345" s="165"/>
      <c r="T345" s="165"/>
      <c r="U345" s="165"/>
    </row>
    <row r="346" spans="1:21" s="185" customFormat="1" ht="12.75" hidden="1" outlineLevel="1">
      <c r="A346" s="346" t="str">
        <f>Inputs!A$123</f>
        <v>APP8009DMMY</v>
      </c>
      <c r="B346" s="163"/>
      <c r="C346" s="164"/>
      <c r="D346" s="165"/>
      <c r="E346" s="322" t="str">
        <f>Inputs!E$123</f>
        <v>Dummy: RCV adjustment from totex menu model</v>
      </c>
      <c r="F346" s="322">
        <f>Inputs!F$123</f>
        <v>0</v>
      </c>
      <c r="G346" s="322" t="str">
        <f>Inputs!G$123</f>
        <v>£m</v>
      </c>
      <c r="H346" s="165"/>
      <c r="I346" s="165"/>
      <c r="J346" s="165"/>
      <c r="K346" s="165"/>
      <c r="L346" s="165"/>
      <c r="M346" s="165"/>
      <c r="N346" s="165"/>
      <c r="O346" s="165"/>
      <c r="P346" s="165"/>
      <c r="Q346" s="165"/>
      <c r="R346" s="165"/>
      <c r="S346" s="165"/>
      <c r="T346" s="165"/>
      <c r="U346" s="165"/>
    </row>
    <row r="347" ht="4.5" customHeight="1" hidden="1" outlineLevel="1"/>
    <row r="348" spans="1:21" s="152" customFormat="1" ht="12.75" hidden="1" outlineLevel="1">
      <c r="A348" s="191"/>
      <c r="B348" s="191"/>
      <c r="C348" s="192"/>
      <c r="D348" s="193"/>
      <c r="E348" s="194" t="str">
        <f>Indexation!E$82</f>
        <v>RPI inflate from 2013 FYA to 2020 FYE</v>
      </c>
      <c r="F348" s="194">
        <f>Indexation!F$82</f>
        <v>1.1983243077551855</v>
      </c>
      <c r="G348" s="194" t="str">
        <f>Indexation!G$82</f>
        <v>factor</v>
      </c>
      <c r="H348" s="194"/>
      <c r="I348" s="194"/>
      <c r="J348" s="194"/>
      <c r="K348" s="194"/>
      <c r="L348" s="194"/>
      <c r="M348" s="194"/>
      <c r="N348" s="194"/>
      <c r="O348" s="194"/>
      <c r="P348" s="194"/>
      <c r="Q348" s="194"/>
      <c r="R348" s="194"/>
      <c r="S348" s="194"/>
      <c r="T348" s="194"/>
      <c r="U348" s="194"/>
    </row>
    <row r="349" ht="4.5" customHeight="1" hidden="1" outlineLevel="1"/>
    <row r="350" spans="1:21" s="244" customFormat="1" ht="12.75" hidden="1" outlineLevel="1">
      <c r="A350" s="35"/>
      <c r="B350" s="35"/>
      <c r="C350" s="34"/>
      <c r="D350" s="4"/>
      <c r="E350" s="167" t="str">
        <f>E345&amp;" at 2020 FYE price base"</f>
        <v>Net performance payment / (penalty) applied to RCV for end of period ODI adjustments ~ Thames Tideway at 2020 FYE price base</v>
      </c>
      <c r="F350" s="167">
        <f>F345*F$348</f>
        <v>0</v>
      </c>
      <c r="G350" s="167" t="s">
        <v>206</v>
      </c>
      <c r="H350"/>
      <c r="I350"/>
      <c r="J350"/>
      <c r="K350"/>
      <c r="L350"/>
      <c r="M350"/>
      <c r="N350"/>
      <c r="O350"/>
      <c r="P350"/>
      <c r="Q350"/>
      <c r="R350"/>
      <c r="S350"/>
      <c r="T350"/>
      <c r="U350"/>
    </row>
    <row r="351" spans="1:21" s="244" customFormat="1" ht="12.75" hidden="1" outlineLevel="1">
      <c r="A351" s="35"/>
      <c r="B351" s="35"/>
      <c r="C351" s="34"/>
      <c r="D351" s="4"/>
      <c r="E351" s="323" t="str">
        <f>E346&amp;" at 2020 FYE price base"</f>
        <v>Dummy: RCV adjustment from totex menu model at 2020 FYE price base</v>
      </c>
      <c r="F351" s="323">
        <f>F346*F$348</f>
        <v>0</v>
      </c>
      <c r="G351" s="323" t="s">
        <v>206</v>
      </c>
      <c r="H351"/>
      <c r="I351"/>
      <c r="J351"/>
      <c r="K351"/>
      <c r="L351"/>
      <c r="M351"/>
      <c r="N351"/>
      <c r="O351"/>
      <c r="P351"/>
      <c r="Q351"/>
      <c r="R351"/>
      <c r="S351"/>
      <c r="T351"/>
      <c r="U351"/>
    </row>
    <row r="352" spans="5:7" ht="12.75" hidden="1" outlineLevel="1">
      <c r="E352" s="169"/>
      <c r="F352" s="169"/>
      <c r="G352" s="169"/>
    </row>
    <row r="353" spans="1:21" s="185" customFormat="1" ht="12.75" hidden="1" outlineLevel="1">
      <c r="A353" s="346" t="str">
        <f>Inputs!A$124</f>
        <v>APP33021DMMY</v>
      </c>
      <c r="B353" s="163"/>
      <c r="C353" s="164"/>
      <c r="D353" s="165"/>
      <c r="E353" s="334" t="str">
        <f>Inputs!E$124</f>
        <v>Dummy ~ Other adjustment to wholesale RCV</v>
      </c>
      <c r="F353" s="334">
        <f>Inputs!F$124</f>
        <v>0</v>
      </c>
      <c r="G353" s="334" t="str">
        <f>Inputs!G$124</f>
        <v>£m</v>
      </c>
      <c r="H353" s="165"/>
      <c r="I353" s="165"/>
      <c r="J353" s="165"/>
      <c r="K353" s="165"/>
      <c r="L353" s="165"/>
      <c r="M353" s="165"/>
      <c r="N353" s="165"/>
      <c r="O353" s="165"/>
      <c r="P353" s="165"/>
      <c r="Q353" s="165"/>
      <c r="R353" s="165"/>
      <c r="S353" s="165"/>
      <c r="T353" s="165"/>
      <c r="U353" s="165"/>
    </row>
    <row r="354" spans="1:21" s="186" customFormat="1" ht="12.75" hidden="1" outlineLevel="1">
      <c r="A354" s="346" t="str">
        <f>Inputs!A$125</f>
        <v>Manual input if required</v>
      </c>
      <c r="B354" s="163"/>
      <c r="C354" s="164"/>
      <c r="D354" s="165"/>
      <c r="E354" s="334" t="str">
        <f>Inputs!E$125</f>
        <v>Dummy: NPV effect of 100% of proceeds from disposals of interest in land</v>
      </c>
      <c r="F354" s="334">
        <f>Inputs!F$125</f>
        <v>0</v>
      </c>
      <c r="G354" s="334" t="str">
        <f>Inputs!G$125</f>
        <v>£m</v>
      </c>
      <c r="H354" s="165"/>
      <c r="I354" s="165"/>
      <c r="J354" s="165"/>
      <c r="K354" s="165"/>
      <c r="L354" s="165"/>
      <c r="M354" s="165"/>
      <c r="N354" s="165"/>
      <c r="O354" s="165"/>
      <c r="P354" s="165"/>
      <c r="Q354" s="165"/>
      <c r="R354" s="165"/>
      <c r="S354" s="165"/>
      <c r="T354" s="165"/>
      <c r="U354" s="165"/>
    </row>
    <row r="355" spans="5:7" ht="4.5" customHeight="1" hidden="1" outlineLevel="1">
      <c r="E355" s="331"/>
      <c r="F355" s="331"/>
      <c r="G355" s="331"/>
    </row>
    <row r="356" spans="1:8" s="152" customFormat="1" ht="12.75" hidden="1" outlineLevel="1">
      <c r="A356" s="191"/>
      <c r="B356" s="191"/>
      <c r="C356" s="192"/>
      <c r="D356" s="193"/>
      <c r="E356" s="335" t="str">
        <f>Indexation!E$95</f>
        <v>RPI inflate from 2018 FYE to 2020 FYE</v>
      </c>
      <c r="F356" s="335">
        <f>Indexation!F$95</f>
        <v>1.0535393460294644</v>
      </c>
      <c r="G356" s="335" t="str">
        <f>Indexation!G$95</f>
        <v>factor</v>
      </c>
      <c r="H356" s="194"/>
    </row>
    <row r="357" spans="1:8" s="152" customFormat="1" ht="12.75" hidden="1" outlineLevel="1">
      <c r="A357" s="191"/>
      <c r="B357" s="191"/>
      <c r="C357" s="192"/>
      <c r="D357" s="193"/>
      <c r="E357" s="335" t="str">
        <f>Indexation!E$89</f>
        <v>RPI inflate from 2018 FYA to 2020 FYE</v>
      </c>
      <c r="F357" s="335">
        <f>Indexation!F$89</f>
        <v>1.0665373306253598</v>
      </c>
      <c r="G357" s="335" t="str">
        <f>Indexation!G$89</f>
        <v>factor</v>
      </c>
      <c r="H357" s="194"/>
    </row>
    <row r="358" spans="5:7" ht="4.5" customHeight="1" hidden="1" outlineLevel="1">
      <c r="E358" s="331"/>
      <c r="F358" s="331"/>
      <c r="G358" s="331"/>
    </row>
    <row r="359" spans="1:21" s="147" customFormat="1" ht="12.75" hidden="1" outlineLevel="1">
      <c r="A359" s="35"/>
      <c r="B359" s="35"/>
      <c r="C359" s="34"/>
      <c r="D359" s="4"/>
      <c r="E359" s="336" t="str">
        <f>E353&amp;" at 2020 FYE price base"</f>
        <v>Dummy ~ Other adjustment to wholesale RCV at 2020 FYE price base</v>
      </c>
      <c r="F359" s="336">
        <f>F353*F356</f>
        <v>0</v>
      </c>
      <c r="G359" s="336" t="s">
        <v>206</v>
      </c>
      <c r="H359"/>
      <c r="I359" s="4"/>
      <c r="J359" s="4"/>
      <c r="K359" s="4"/>
      <c r="L359" s="4"/>
      <c r="M359" s="4"/>
      <c r="N359" s="4"/>
      <c r="O359" s="4"/>
      <c r="P359" s="4"/>
      <c r="Q359" s="4"/>
      <c r="R359" s="4"/>
      <c r="S359" s="4"/>
      <c r="T359" s="4"/>
      <c r="U359" s="4"/>
    </row>
    <row r="360" spans="1:21" s="147" customFormat="1" ht="12.75" hidden="1" outlineLevel="1">
      <c r="A360" s="35"/>
      <c r="B360" s="35"/>
      <c r="C360" s="34"/>
      <c r="D360" s="4"/>
      <c r="E360" s="336" t="str">
        <f>E354&amp;" at 2020 FYE price base"</f>
        <v>Dummy: NPV effect of 100% of proceeds from disposals of interest in land at 2020 FYE price base</v>
      </c>
      <c r="F360" s="336">
        <f>F354*F357</f>
        <v>0</v>
      </c>
      <c r="G360" s="336" t="s">
        <v>206</v>
      </c>
      <c r="H360" s="4"/>
      <c r="I360" s="4"/>
      <c r="J360" s="4"/>
      <c r="K360" s="4"/>
      <c r="L360" s="4"/>
      <c r="M360" s="4"/>
      <c r="N360" s="4"/>
      <c r="O360" s="4"/>
      <c r="P360" s="4"/>
      <c r="Q360" s="4"/>
      <c r="R360" s="4"/>
      <c r="S360" s="4"/>
      <c r="T360" s="4"/>
      <c r="U360" s="4"/>
    </row>
    <row r="361" spans="1:21" s="167" customFormat="1" ht="12.75" hidden="1" outlineLevel="1">
      <c r="A361" s="4"/>
      <c r="B361" s="4"/>
      <c r="C361" s="34"/>
      <c r="D361" s="4"/>
      <c r="H361" s="9"/>
      <c r="I361" s="9"/>
      <c r="J361" s="9"/>
      <c r="K361" s="9"/>
      <c r="L361" s="9"/>
      <c r="M361" s="9"/>
      <c r="N361" s="9"/>
      <c r="O361" s="9"/>
      <c r="P361" s="9"/>
      <c r="Q361" s="9"/>
      <c r="R361" s="9"/>
      <c r="S361" s="9"/>
      <c r="T361" s="9"/>
      <c r="U361" s="9"/>
    </row>
    <row r="362" spans="1:21" s="147" customFormat="1" ht="12.75" hidden="1" outlineLevel="1">
      <c r="A362" s="35"/>
      <c r="B362" s="35"/>
      <c r="C362" s="34" t="s">
        <v>316</v>
      </c>
      <c r="D362" s="4"/>
      <c r="H362" s="9"/>
      <c r="I362" s="9"/>
      <c r="J362" s="9"/>
      <c r="K362" s="9"/>
      <c r="L362" s="9"/>
      <c r="M362" s="9"/>
      <c r="N362" s="9"/>
      <c r="O362" s="9"/>
      <c r="P362" s="9"/>
      <c r="Q362" s="9"/>
      <c r="R362" s="9"/>
      <c r="S362" s="9"/>
      <c r="T362" s="9"/>
      <c r="U362" s="9"/>
    </row>
    <row r="363" spans="1:21" s="147" customFormat="1" ht="12.75" hidden="1" outlineLevel="1">
      <c r="A363" s="35"/>
      <c r="B363" s="35"/>
      <c r="C363" s="34"/>
      <c r="D363" s="4"/>
      <c r="E363" s="147" t="str">
        <f>E$343</f>
        <v>Dummy RCV (prior to midnight adjustments) 31 March 2020 at 2020 FYE price base</v>
      </c>
      <c r="F363" s="147">
        <f>F$343</f>
        <v>0</v>
      </c>
      <c r="G363" s="147" t="str">
        <f>G$343</f>
        <v>£m</v>
      </c>
      <c r="H363" s="9"/>
      <c r="I363" s="9"/>
      <c r="J363" s="9"/>
      <c r="K363" s="9"/>
      <c r="L363" s="9"/>
      <c r="M363" s="9"/>
      <c r="N363" s="9"/>
      <c r="O363" s="9"/>
      <c r="P363" s="9"/>
      <c r="Q363" s="9"/>
      <c r="R363" s="9"/>
      <c r="S363" s="9"/>
      <c r="T363" s="9"/>
      <c r="U363" s="9"/>
    </row>
    <row r="364" spans="1:21" s="246" customFormat="1" ht="12.75" hidden="1" outlineLevel="1">
      <c r="A364" s="35"/>
      <c r="B364" s="35"/>
      <c r="C364" s="34"/>
      <c r="D364" s="4"/>
      <c r="E364" s="147" t="str">
        <f>E$350</f>
        <v>Net performance payment / (penalty) applied to RCV for end of period ODI adjustments ~ Thames Tideway at 2020 FYE price base</v>
      </c>
      <c r="F364" s="147">
        <f>F$350</f>
        <v>0</v>
      </c>
      <c r="G364" s="147" t="str">
        <f>G$350</f>
        <v>£m</v>
      </c>
      <c r="H364" s="9"/>
      <c r="I364" s="9"/>
      <c r="J364" s="9"/>
      <c r="K364" s="9"/>
      <c r="L364" s="9"/>
      <c r="M364" s="9"/>
      <c r="N364" s="9"/>
      <c r="O364" s="9"/>
      <c r="P364" s="9"/>
      <c r="Q364" s="9"/>
      <c r="R364" s="9"/>
      <c r="S364" s="9"/>
      <c r="T364" s="9"/>
      <c r="U364" s="9"/>
    </row>
    <row r="365" spans="1:21" s="246" customFormat="1" ht="12.75" hidden="1" outlineLevel="1">
      <c r="A365" s="35"/>
      <c r="B365" s="35"/>
      <c r="C365" s="34"/>
      <c r="D365" s="4"/>
      <c r="E365" s="325" t="str">
        <f>E$351</f>
        <v>Dummy: RCV adjustment from totex menu model at 2020 FYE price base</v>
      </c>
      <c r="F365" s="325">
        <f>F$351</f>
        <v>0</v>
      </c>
      <c r="G365" s="325" t="str">
        <f>G$351</f>
        <v>£m</v>
      </c>
      <c r="H365" s="9"/>
      <c r="I365" s="9"/>
      <c r="J365" s="9"/>
      <c r="K365" s="9"/>
      <c r="L365" s="9"/>
      <c r="M365" s="9"/>
      <c r="N365" s="9"/>
      <c r="O365" s="9"/>
      <c r="P365" s="9"/>
      <c r="Q365" s="9"/>
      <c r="R365" s="9"/>
      <c r="S365" s="9"/>
      <c r="T365" s="9"/>
      <c r="U365" s="9"/>
    </row>
    <row r="366" spans="1:21" s="197" customFormat="1" ht="12.75" hidden="1" outlineLevel="1">
      <c r="A366" s="150"/>
      <c r="B366" s="150"/>
      <c r="C366" s="151"/>
      <c r="D366" s="39"/>
      <c r="E366" s="337" t="str">
        <f>E$359</f>
        <v>Dummy ~ Other adjustment to wholesale RCV at 2020 FYE price base</v>
      </c>
      <c r="F366" s="337">
        <f>F$359</f>
        <v>0</v>
      </c>
      <c r="G366" s="337" t="str">
        <f>G$359</f>
        <v>£m</v>
      </c>
      <c r="H366" s="177"/>
      <c r="I366" s="177"/>
      <c r="J366" s="177"/>
      <c r="K366" s="177"/>
      <c r="L366" s="177"/>
      <c r="M366" s="177"/>
      <c r="N366" s="177"/>
      <c r="O366" s="177"/>
      <c r="P366" s="177"/>
      <c r="Q366" s="177"/>
      <c r="R366" s="177"/>
      <c r="S366" s="177"/>
      <c r="T366" s="177"/>
      <c r="U366" s="177"/>
    </row>
    <row r="367" spans="1:21" s="197" customFormat="1" ht="12.75" hidden="1" outlineLevel="1">
      <c r="A367" s="150"/>
      <c r="B367" s="150"/>
      <c r="C367" s="151"/>
      <c r="D367" s="39"/>
      <c r="E367" s="337" t="str">
        <f>E$360</f>
        <v>Dummy: NPV effect of 100% of proceeds from disposals of interest in land at 2020 FYE price base</v>
      </c>
      <c r="F367" s="337">
        <f>F$360</f>
        <v>0</v>
      </c>
      <c r="G367" s="337" t="str">
        <f>G$360</f>
        <v>£m</v>
      </c>
      <c r="H367" s="177"/>
      <c r="I367" s="177"/>
      <c r="J367" s="177"/>
      <c r="K367" s="177"/>
      <c r="L367" s="177"/>
      <c r="M367" s="177"/>
      <c r="N367" s="177"/>
      <c r="O367" s="177"/>
      <c r="P367" s="177"/>
      <c r="Q367" s="177"/>
      <c r="R367" s="177"/>
      <c r="S367" s="177"/>
      <c r="T367" s="177"/>
      <c r="U367" s="177"/>
    </row>
    <row r="368" ht="4.5" customHeight="1" hidden="1" outlineLevel="1"/>
    <row r="369" spans="1:7" s="152" customFormat="1" ht="12.75" hidden="1" outlineLevel="1">
      <c r="A369" s="191"/>
      <c r="B369" s="191"/>
      <c r="C369" s="192"/>
      <c r="D369" s="193"/>
      <c r="E369" s="194" t="str">
        <f>Indexation!E$106</f>
        <v>CPIH deflate from 2020 FYE to 2018 FYE</v>
      </c>
      <c r="F369" s="194">
        <f>Indexation!F$106</f>
        <v>0.9634345841742631</v>
      </c>
      <c r="G369" s="194" t="str">
        <f>Indexation!G$106</f>
        <v>factor</v>
      </c>
    </row>
    <row r="370" ht="4.5" customHeight="1" hidden="1" outlineLevel="1"/>
    <row r="371" spans="1:7" ht="12.75" hidden="1" outlineLevel="1">
      <c r="A371" s="173" t="s">
        <v>535</v>
      </c>
      <c r="E371" s="197" t="s">
        <v>399</v>
      </c>
      <c r="F371" s="197">
        <f>F363*F$369</f>
        <v>0</v>
      </c>
      <c r="G371" s="197" t="s">
        <v>206</v>
      </c>
    </row>
    <row r="372" spans="1:21" s="247" customFormat="1" ht="12.75" hidden="1" outlineLevel="1">
      <c r="A372" s="173" t="s">
        <v>536</v>
      </c>
      <c r="B372" s="171"/>
      <c r="C372" s="172"/>
      <c r="D372" s="173"/>
      <c r="E372" s="197" t="s">
        <v>400</v>
      </c>
      <c r="F372" s="197">
        <f>F364*F$369</f>
        <v>0</v>
      </c>
      <c r="G372" s="197" t="s">
        <v>206</v>
      </c>
      <c r="H372" s="173"/>
      <c r="I372" s="173"/>
      <c r="J372" s="173"/>
      <c r="K372" s="173"/>
      <c r="L372" s="173"/>
      <c r="M372" s="173"/>
      <c r="N372" s="173"/>
      <c r="O372" s="173"/>
      <c r="P372" s="173"/>
      <c r="Q372" s="173"/>
      <c r="R372" s="173"/>
      <c r="S372" s="173"/>
      <c r="T372" s="173"/>
      <c r="U372" s="173"/>
    </row>
    <row r="373" spans="1:21" s="247" customFormat="1" ht="12.75" hidden="1" outlineLevel="1">
      <c r="A373" s="173" t="s">
        <v>537</v>
      </c>
      <c r="B373" s="171"/>
      <c r="C373" s="172"/>
      <c r="D373" s="173"/>
      <c r="E373" s="324" t="s">
        <v>401</v>
      </c>
      <c r="F373" s="324">
        <f>F365*F$369</f>
        <v>0</v>
      </c>
      <c r="G373" s="324" t="s">
        <v>206</v>
      </c>
      <c r="H373" s="173"/>
      <c r="I373" s="173"/>
      <c r="J373" s="173"/>
      <c r="K373" s="173"/>
      <c r="L373" s="173"/>
      <c r="M373" s="173"/>
      <c r="N373" s="173"/>
      <c r="O373" s="173"/>
      <c r="P373" s="173"/>
      <c r="Q373" s="173"/>
      <c r="R373" s="173"/>
      <c r="S373" s="173"/>
      <c r="T373" s="173"/>
      <c r="U373" s="173"/>
    </row>
    <row r="374" spans="1:21" s="247" customFormat="1" ht="12.75" hidden="1" outlineLevel="1">
      <c r="A374" s="173" t="s">
        <v>538</v>
      </c>
      <c r="B374" s="171"/>
      <c r="C374" s="172"/>
      <c r="D374" s="173"/>
      <c r="E374" s="339" t="s">
        <v>402</v>
      </c>
      <c r="F374" s="339">
        <f>F366*F$369</f>
        <v>0</v>
      </c>
      <c r="G374" s="339" t="s">
        <v>206</v>
      </c>
      <c r="H374" s="173"/>
      <c r="I374" s="173"/>
      <c r="J374" s="173"/>
      <c r="K374" s="173"/>
      <c r="L374" s="173"/>
      <c r="M374" s="173"/>
      <c r="N374" s="173"/>
      <c r="O374" s="173"/>
      <c r="P374" s="173"/>
      <c r="Q374" s="173"/>
      <c r="R374" s="173"/>
      <c r="S374" s="173"/>
      <c r="T374" s="173"/>
      <c r="U374" s="173"/>
    </row>
    <row r="375" spans="1:21" s="247" customFormat="1" ht="12.75" hidden="1" outlineLevel="1">
      <c r="A375" s="173" t="s">
        <v>539</v>
      </c>
      <c r="B375" s="171"/>
      <c r="C375" s="172"/>
      <c r="D375" s="173"/>
      <c r="E375" s="339" t="s">
        <v>403</v>
      </c>
      <c r="F375" s="339">
        <f>F367*F$369</f>
        <v>0</v>
      </c>
      <c r="G375" s="339" t="s">
        <v>206</v>
      </c>
      <c r="H375" s="173"/>
      <c r="I375" s="173"/>
      <c r="J375" s="173"/>
      <c r="K375" s="173"/>
      <c r="L375" s="173"/>
      <c r="M375" s="173"/>
      <c r="N375" s="173"/>
      <c r="O375" s="173"/>
      <c r="P375" s="173"/>
      <c r="Q375" s="173"/>
      <c r="R375" s="173"/>
      <c r="S375" s="173"/>
      <c r="T375" s="173"/>
      <c r="U375" s="173"/>
    </row>
    <row r="376" spans="1:21" s="197" customFormat="1" ht="12.75" hidden="1" outlineLevel="1">
      <c r="A376" s="173" t="s">
        <v>540</v>
      </c>
      <c r="B376" s="171"/>
      <c r="C376" s="172"/>
      <c r="D376" s="173"/>
      <c r="E376" s="198" t="s">
        <v>404</v>
      </c>
      <c r="F376" s="340">
        <f>SUM(F371:F375)</f>
        <v>0</v>
      </c>
      <c r="G376" s="198" t="s">
        <v>206</v>
      </c>
      <c r="H376" s="173"/>
      <c r="I376" s="173"/>
      <c r="J376" s="173"/>
      <c r="K376" s="173"/>
      <c r="L376" s="173"/>
      <c r="M376" s="173"/>
      <c r="N376" s="173"/>
      <c r="O376" s="173"/>
      <c r="P376" s="173"/>
      <c r="Q376" s="173"/>
      <c r="R376" s="173"/>
      <c r="S376" s="173"/>
      <c r="T376" s="173"/>
      <c r="U376" s="173"/>
    </row>
    <row r="377" spans="1:21" s="147" customFormat="1" ht="12.75" hidden="1" outlineLevel="1">
      <c r="A377" s="35"/>
      <c r="B377" s="35"/>
      <c r="C377" s="34"/>
      <c r="D377" s="4"/>
      <c r="H377" s="9"/>
      <c r="I377" s="9"/>
      <c r="J377" s="9"/>
      <c r="K377" s="9"/>
      <c r="L377" s="9"/>
      <c r="M377" s="9"/>
      <c r="N377" s="9"/>
      <c r="O377" s="9"/>
      <c r="P377" s="9"/>
      <c r="Q377" s="9"/>
      <c r="R377" s="9"/>
      <c r="S377" s="9"/>
      <c r="T377" s="9"/>
      <c r="U377" s="9"/>
    </row>
    <row r="378" spans="1:21" s="147" customFormat="1" ht="12.75" hidden="1" outlineLevel="1">
      <c r="A378" s="35"/>
      <c r="B378" s="35"/>
      <c r="C378" s="34" t="s">
        <v>326</v>
      </c>
      <c r="D378" s="4"/>
      <c r="H378" s="9"/>
      <c r="I378" s="9"/>
      <c r="J378" s="9"/>
      <c r="K378" s="9"/>
      <c r="L378" s="9"/>
      <c r="M378" s="9"/>
      <c r="N378" s="9"/>
      <c r="O378" s="9"/>
      <c r="P378" s="9"/>
      <c r="Q378" s="9"/>
      <c r="R378" s="9"/>
      <c r="S378" s="9"/>
      <c r="T378" s="9"/>
      <c r="U378" s="9"/>
    </row>
    <row r="379" spans="1:21" s="246" customFormat="1" ht="12.75" hidden="1" outlineLevel="1">
      <c r="A379" s="35"/>
      <c r="B379" s="35"/>
      <c r="C379" s="34"/>
      <c r="D379" s="4"/>
      <c r="E379" s="147" t="str">
        <f>E$350</f>
        <v>Net performance payment / (penalty) applied to RCV for end of period ODI adjustments ~ Thames Tideway at 2020 FYE price base</v>
      </c>
      <c r="F379" s="147">
        <f>F$350</f>
        <v>0</v>
      </c>
      <c r="G379" s="147" t="str">
        <f>G$350</f>
        <v>£m</v>
      </c>
      <c r="H379" s="9"/>
      <c r="I379" s="9"/>
      <c r="J379" s="9"/>
      <c r="K379" s="9"/>
      <c r="L379" s="9"/>
      <c r="M379" s="9"/>
      <c r="N379" s="9"/>
      <c r="O379" s="9"/>
      <c r="P379" s="9"/>
      <c r="Q379" s="9"/>
      <c r="R379" s="9"/>
      <c r="S379" s="9"/>
      <c r="T379" s="9"/>
      <c r="U379" s="9"/>
    </row>
    <row r="380" spans="1:21" s="246" customFormat="1" ht="12.75" hidden="1" outlineLevel="1">
      <c r="A380" s="35"/>
      <c r="B380" s="35"/>
      <c r="C380" s="34"/>
      <c r="D380" s="4"/>
      <c r="E380" s="325" t="str">
        <f>E$351</f>
        <v>Dummy: RCV adjustment from totex menu model at 2020 FYE price base</v>
      </c>
      <c r="F380" s="325">
        <f>F$351</f>
        <v>0</v>
      </c>
      <c r="G380" s="325" t="str">
        <f>G$351</f>
        <v>£m</v>
      </c>
      <c r="H380" s="9"/>
      <c r="I380" s="9"/>
      <c r="J380" s="9"/>
      <c r="K380" s="9"/>
      <c r="L380" s="9"/>
      <c r="M380" s="9"/>
      <c r="N380" s="9"/>
      <c r="O380" s="9"/>
      <c r="P380" s="9"/>
      <c r="Q380" s="9"/>
      <c r="R380" s="9"/>
      <c r="S380" s="9"/>
      <c r="T380" s="9"/>
      <c r="U380" s="9"/>
    </row>
    <row r="381" spans="1:21" s="197" customFormat="1" ht="12.75" hidden="1" outlineLevel="1">
      <c r="A381" s="150"/>
      <c r="B381" s="150"/>
      <c r="C381" s="151"/>
      <c r="D381" s="39"/>
      <c r="E381" s="337" t="str">
        <f>E$359</f>
        <v>Dummy ~ Other adjustment to wholesale RCV at 2020 FYE price base</v>
      </c>
      <c r="F381" s="337">
        <f>F$359</f>
        <v>0</v>
      </c>
      <c r="G381" s="337" t="str">
        <f>G$359</f>
        <v>£m</v>
      </c>
      <c r="H381" s="177"/>
      <c r="I381" s="177"/>
      <c r="J381" s="177"/>
      <c r="K381" s="177"/>
      <c r="L381" s="177"/>
      <c r="M381" s="177"/>
      <c r="N381" s="177"/>
      <c r="O381" s="177"/>
      <c r="P381" s="177"/>
      <c r="Q381" s="177"/>
      <c r="R381" s="177"/>
      <c r="S381" s="177"/>
      <c r="T381" s="177"/>
      <c r="U381" s="177"/>
    </row>
    <row r="382" spans="1:21" s="197" customFormat="1" ht="12.75" hidden="1" outlineLevel="1">
      <c r="A382" s="150"/>
      <c r="B382" s="150"/>
      <c r="C382" s="151"/>
      <c r="D382" s="39"/>
      <c r="E382" s="337" t="str">
        <f>E$360</f>
        <v>Dummy: NPV effect of 100% of proceeds from disposals of interest in land at 2020 FYE price base</v>
      </c>
      <c r="F382" s="337">
        <f>F$360</f>
        <v>0</v>
      </c>
      <c r="G382" s="337" t="str">
        <f>G$360</f>
        <v>£m</v>
      </c>
      <c r="H382" s="177"/>
      <c r="I382" s="177"/>
      <c r="J382" s="177"/>
      <c r="K382" s="177"/>
      <c r="L382" s="177"/>
      <c r="M382" s="177"/>
      <c r="N382" s="177"/>
      <c r="O382" s="177"/>
      <c r="P382" s="177"/>
      <c r="Q382" s="177"/>
      <c r="R382" s="177"/>
      <c r="S382" s="177"/>
      <c r="T382" s="177"/>
      <c r="U382" s="177"/>
    </row>
    <row r="383" ht="4.5" customHeight="1" hidden="1" outlineLevel="1"/>
    <row r="384" spans="1:7" s="152" customFormat="1" ht="12.75" hidden="1" outlineLevel="1">
      <c r="A384" s="191"/>
      <c r="B384" s="191"/>
      <c r="C384" s="192"/>
      <c r="D384" s="193"/>
      <c r="E384" s="194" t="str">
        <f>Indexation!E$105</f>
        <v>CPIH deflate from 2020 FYE to 2018 FYA</v>
      </c>
      <c r="F384" s="194">
        <f>Indexation!F$105</f>
        <v>0.9553372113608734</v>
      </c>
      <c r="G384" s="194" t="str">
        <f>Indexation!G$105</f>
        <v>factor</v>
      </c>
    </row>
    <row r="385" ht="4.5" customHeight="1" hidden="1" outlineLevel="1"/>
    <row r="386" spans="1:21" s="247" customFormat="1" ht="12.75" hidden="1" outlineLevel="1">
      <c r="A386" s="173" t="s">
        <v>690</v>
      </c>
      <c r="B386" s="171"/>
      <c r="C386" s="172"/>
      <c r="D386" s="173"/>
      <c r="E386" s="197" t="s">
        <v>405</v>
      </c>
      <c r="F386" s="197">
        <f>F379*F$384</f>
        <v>0</v>
      </c>
      <c r="G386" s="197" t="s">
        <v>206</v>
      </c>
      <c r="H386" s="173"/>
      <c r="I386" s="173"/>
      <c r="J386" s="173"/>
      <c r="K386" s="173"/>
      <c r="L386" s="173"/>
      <c r="M386" s="173"/>
      <c r="N386" s="173"/>
      <c r="O386" s="173"/>
      <c r="P386" s="173"/>
      <c r="Q386" s="173"/>
      <c r="R386" s="173"/>
      <c r="S386" s="173"/>
      <c r="T386" s="173"/>
      <c r="U386" s="173"/>
    </row>
    <row r="387" spans="1:21" s="247" customFormat="1" ht="12.75" hidden="1" outlineLevel="1">
      <c r="A387" s="357" t="s">
        <v>695</v>
      </c>
      <c r="B387" s="171"/>
      <c r="C387" s="172"/>
      <c r="D387" s="173"/>
      <c r="E387" s="324" t="s">
        <v>406</v>
      </c>
      <c r="F387" s="324">
        <f>F380*F$384</f>
        <v>0</v>
      </c>
      <c r="G387" s="324" t="s">
        <v>206</v>
      </c>
      <c r="H387" s="173"/>
      <c r="I387" s="173"/>
      <c r="J387" s="173"/>
      <c r="K387" s="173"/>
      <c r="L387" s="173"/>
      <c r="M387" s="173"/>
      <c r="N387" s="173"/>
      <c r="O387" s="173"/>
      <c r="P387" s="173"/>
      <c r="Q387" s="173"/>
      <c r="R387" s="173"/>
      <c r="S387" s="173"/>
      <c r="T387" s="173"/>
      <c r="U387" s="173"/>
    </row>
    <row r="388" spans="1:21" s="247" customFormat="1" ht="12.75" hidden="1" outlineLevel="1">
      <c r="A388" s="173"/>
      <c r="B388" s="171"/>
      <c r="C388" s="172"/>
      <c r="D388" s="173"/>
      <c r="E388" s="339" t="s">
        <v>407</v>
      </c>
      <c r="F388" s="339">
        <f>F381*F$384</f>
        <v>0</v>
      </c>
      <c r="G388" s="339" t="s">
        <v>206</v>
      </c>
      <c r="H388" s="173"/>
      <c r="I388" s="173"/>
      <c r="J388" s="173"/>
      <c r="K388" s="173"/>
      <c r="L388" s="173"/>
      <c r="M388" s="173"/>
      <c r="N388" s="173"/>
      <c r="O388" s="173"/>
      <c r="P388" s="173"/>
      <c r="Q388" s="173"/>
      <c r="R388" s="173"/>
      <c r="S388" s="173"/>
      <c r="T388" s="173"/>
      <c r="U388" s="173"/>
    </row>
    <row r="389" spans="1:21" s="247" customFormat="1" ht="12.75" hidden="1" outlineLevel="1">
      <c r="A389" s="357" t="s">
        <v>698</v>
      </c>
      <c r="B389" s="171"/>
      <c r="C389" s="172"/>
      <c r="D389" s="173"/>
      <c r="E389" s="339" t="s">
        <v>408</v>
      </c>
      <c r="F389" s="339">
        <f>F382*F$384</f>
        <v>0</v>
      </c>
      <c r="G389" s="339" t="s">
        <v>206</v>
      </c>
      <c r="H389" s="173"/>
      <c r="I389" s="173"/>
      <c r="J389" s="173"/>
      <c r="K389" s="173"/>
      <c r="L389" s="173"/>
      <c r="M389" s="173"/>
      <c r="N389" s="173"/>
      <c r="O389" s="173"/>
      <c r="P389" s="173"/>
      <c r="Q389" s="173"/>
      <c r="R389" s="173"/>
      <c r="S389" s="173"/>
      <c r="T389" s="173"/>
      <c r="U389" s="173"/>
    </row>
    <row r="390" spans="1:21" s="206" customFormat="1" ht="12.75" hidden="1" outlineLevel="1">
      <c r="A390" s="171"/>
      <c r="B390" s="171"/>
      <c r="C390" s="172"/>
      <c r="D390" s="173"/>
      <c r="E390" s="197"/>
      <c r="F390" s="197"/>
      <c r="G390" s="197"/>
      <c r="H390" s="173"/>
      <c r="I390" s="173"/>
      <c r="J390" s="173"/>
      <c r="K390" s="173"/>
      <c r="L390" s="173"/>
      <c r="M390" s="173"/>
      <c r="N390" s="173"/>
      <c r="O390" s="173"/>
      <c r="P390" s="173"/>
      <c r="Q390" s="173"/>
      <c r="R390" s="173"/>
      <c r="S390" s="173"/>
      <c r="T390" s="173"/>
      <c r="U390" s="173"/>
    </row>
    <row r="391" spans="1:21" s="206" customFormat="1" ht="12.75" hidden="1" outlineLevel="1">
      <c r="A391" s="171"/>
      <c r="B391" s="275"/>
      <c r="C391" s="272" t="s">
        <v>334</v>
      </c>
      <c r="D391" s="276"/>
      <c r="E391" s="265"/>
      <c r="F391" s="265"/>
      <c r="G391" s="265"/>
      <c r="H391" s="173"/>
      <c r="I391" s="173"/>
      <c r="J391" s="173"/>
      <c r="K391" s="173"/>
      <c r="L391" s="173"/>
      <c r="M391" s="173"/>
      <c r="N391" s="173"/>
      <c r="O391" s="173"/>
      <c r="P391" s="173"/>
      <c r="Q391" s="173"/>
      <c r="R391" s="173"/>
      <c r="S391" s="173"/>
      <c r="T391" s="173"/>
      <c r="U391" s="173"/>
    </row>
    <row r="392" spans="1:21" s="206" customFormat="1" ht="12.75" hidden="1" outlineLevel="1">
      <c r="A392" s="346">
        <f>Inputs!A$128</f>
        <v>0</v>
      </c>
      <c r="B392" s="275"/>
      <c r="C392" s="277"/>
      <c r="D392" s="276"/>
      <c r="E392" s="278" t="str">
        <f>Inputs!E$128</f>
        <v>Dummy IFRS16 RCV adjustment</v>
      </c>
      <c r="F392" s="278">
        <f>Inputs!F$128</f>
        <v>0</v>
      </c>
      <c r="G392" s="278" t="str">
        <f>Inputs!G$128</f>
        <v>£m</v>
      </c>
      <c r="H392" s="173"/>
      <c r="I392" s="173"/>
      <c r="J392" s="173"/>
      <c r="K392" s="173"/>
      <c r="L392" s="173"/>
      <c r="M392" s="173"/>
      <c r="N392" s="173"/>
      <c r="O392" s="173"/>
      <c r="P392" s="173"/>
      <c r="Q392" s="173"/>
      <c r="R392" s="173"/>
      <c r="S392" s="173"/>
      <c r="T392" s="173"/>
      <c r="U392" s="173"/>
    </row>
    <row r="393" spans="2:7" ht="4.5" customHeight="1" hidden="1" outlineLevel="1">
      <c r="B393" s="271"/>
      <c r="C393" s="272"/>
      <c r="D393" s="245"/>
      <c r="E393" s="244"/>
      <c r="F393" s="244"/>
      <c r="G393" s="244"/>
    </row>
    <row r="394" spans="1:7" s="152" customFormat="1" ht="12.75" hidden="1" outlineLevel="1">
      <c r="A394" s="191"/>
      <c r="B394" s="279"/>
      <c r="C394" s="280"/>
      <c r="D394" s="281"/>
      <c r="E394" s="282" t="str">
        <f>Indexation!E$107</f>
        <v>CPIH deflate from 2018 FYE to 2018 FYA - IFRS 16</v>
      </c>
      <c r="F394" s="282">
        <f>Indexation!F$107</f>
        <v>0.9915953060577227</v>
      </c>
      <c r="G394" s="282" t="str">
        <f>Indexation!G$107</f>
        <v>factor</v>
      </c>
    </row>
    <row r="395" spans="2:7" ht="4.5" customHeight="1" hidden="1" outlineLevel="1">
      <c r="B395" s="271"/>
      <c r="C395" s="272"/>
      <c r="D395" s="245"/>
      <c r="E395" s="244"/>
      <c r="F395" s="244"/>
      <c r="G395" s="244"/>
    </row>
    <row r="396" spans="1:21" s="206" customFormat="1" ht="12.75" hidden="1" outlineLevel="1">
      <c r="A396" s="173" t="s">
        <v>541</v>
      </c>
      <c r="B396" s="275"/>
      <c r="C396" s="277"/>
      <c r="D396" s="276"/>
      <c r="E396" s="265" t="s">
        <v>409</v>
      </c>
      <c r="F396" s="265">
        <f>F392*F$394</f>
        <v>0</v>
      </c>
      <c r="G396" s="265" t="s">
        <v>206</v>
      </c>
      <c r="H396" s="173"/>
      <c r="I396" s="173"/>
      <c r="J396" s="173"/>
      <c r="K396" s="173"/>
      <c r="L396" s="173"/>
      <c r="M396" s="173"/>
      <c r="N396" s="173"/>
      <c r="O396" s="173"/>
      <c r="P396" s="173"/>
      <c r="Q396" s="173"/>
      <c r="R396" s="173"/>
      <c r="S396" s="173"/>
      <c r="T396" s="173"/>
      <c r="U396" s="173"/>
    </row>
    <row r="397" spans="1:21" s="147" customFormat="1" ht="12.75" hidden="1" outlineLevel="1">
      <c r="A397" s="4"/>
      <c r="B397" s="4"/>
      <c r="C397" s="34"/>
      <c r="D397" s="4"/>
      <c r="E397" s="167"/>
      <c r="F397" s="167"/>
      <c r="G397" s="167"/>
      <c r="H397" s="9"/>
      <c r="I397" s="9"/>
      <c r="J397" s="9"/>
      <c r="K397" s="9"/>
      <c r="L397" s="9"/>
      <c r="M397" s="9"/>
      <c r="N397" s="9"/>
      <c r="O397" s="9"/>
      <c r="P397" s="9"/>
      <c r="Q397" s="9"/>
      <c r="R397" s="9"/>
      <c r="S397" s="9"/>
      <c r="T397" s="9"/>
      <c r="U397" s="9"/>
    </row>
    <row r="398" spans="1:21" s="246" customFormat="1" ht="12.75" hidden="1" outlineLevel="1">
      <c r="A398" s="35"/>
      <c r="B398" s="35" t="s">
        <v>410</v>
      </c>
      <c r="C398" s="34"/>
      <c r="D398" s="4"/>
      <c r="E398" s="147"/>
      <c r="F398" s="147"/>
      <c r="G398" s="147"/>
      <c r="H398" s="9"/>
      <c r="I398" s="9"/>
      <c r="J398" s="9"/>
      <c r="K398" s="9"/>
      <c r="L398" s="9"/>
      <c r="M398" s="9"/>
      <c r="N398" s="9"/>
      <c r="O398" s="9"/>
      <c r="P398" s="9"/>
      <c r="Q398" s="9"/>
      <c r="R398" s="9"/>
      <c r="S398" s="9"/>
      <c r="T398" s="9"/>
      <c r="U398" s="9"/>
    </row>
    <row r="399" spans="1:21" s="248" customFormat="1" ht="12.75" hidden="1" outlineLevel="1">
      <c r="A399" s="35"/>
      <c r="B399" s="35"/>
      <c r="C399" s="34"/>
      <c r="D399" s="4"/>
      <c r="E399" s="147" t="str">
        <f>E$343</f>
        <v>Dummy RCV (prior to midnight adjustments) 31 March 2020 at 2020 FYE price base</v>
      </c>
      <c r="F399" s="147">
        <f>F$343</f>
        <v>0</v>
      </c>
      <c r="G399" s="147" t="str">
        <f>G$343</f>
        <v>£m</v>
      </c>
      <c r="H399" s="9"/>
      <c r="I399" s="9"/>
      <c r="J399" s="9"/>
      <c r="K399" s="9"/>
      <c r="L399" s="9"/>
      <c r="M399" s="9"/>
      <c r="N399" s="9"/>
      <c r="O399" s="9"/>
      <c r="P399" s="9"/>
      <c r="Q399" s="9"/>
      <c r="R399" s="9"/>
      <c r="S399" s="9"/>
      <c r="T399" s="9"/>
      <c r="U399" s="9"/>
    </row>
    <row r="400" spans="1:21" s="197" customFormat="1" ht="12.75" hidden="1" outlineLevel="1">
      <c r="A400" s="150"/>
      <c r="B400" s="150"/>
      <c r="C400" s="151"/>
      <c r="D400" s="39"/>
      <c r="E400" s="39" t="str">
        <f>E$350</f>
        <v>Net performance payment / (penalty) applied to RCV for end of period ODI adjustments ~ Thames Tideway at 2020 FYE price base</v>
      </c>
      <c r="F400" s="39">
        <f>F$350</f>
        <v>0</v>
      </c>
      <c r="G400" s="39" t="str">
        <f>G$350</f>
        <v>£m</v>
      </c>
      <c r="H400" s="177"/>
      <c r="I400" s="177"/>
      <c r="J400" s="177"/>
      <c r="K400" s="177"/>
      <c r="L400" s="177"/>
      <c r="M400" s="177"/>
      <c r="N400" s="177"/>
      <c r="O400" s="177"/>
      <c r="P400" s="177"/>
      <c r="Q400" s="177"/>
      <c r="R400" s="177"/>
      <c r="S400" s="177"/>
      <c r="T400" s="177"/>
      <c r="U400" s="177"/>
    </row>
    <row r="401" spans="1:21" s="197" customFormat="1" ht="12.75" hidden="1" outlineLevel="1">
      <c r="A401" s="150"/>
      <c r="B401" s="150"/>
      <c r="C401" s="151"/>
      <c r="D401" s="39"/>
      <c r="E401" s="326" t="str">
        <f>E$351</f>
        <v>Dummy: RCV adjustment from totex menu model at 2020 FYE price base</v>
      </c>
      <c r="F401" s="326">
        <f>F$351</f>
        <v>0</v>
      </c>
      <c r="G401" s="326" t="str">
        <f>G$351</f>
        <v>£m</v>
      </c>
      <c r="H401" s="177"/>
      <c r="I401" s="177"/>
      <c r="J401" s="177"/>
      <c r="K401" s="177"/>
      <c r="L401" s="177"/>
      <c r="M401" s="177"/>
      <c r="N401" s="177"/>
      <c r="O401" s="177"/>
      <c r="P401" s="177"/>
      <c r="Q401" s="177"/>
      <c r="R401" s="177"/>
      <c r="S401" s="177"/>
      <c r="T401" s="177"/>
      <c r="U401" s="177"/>
    </row>
    <row r="402" spans="1:21" s="197" customFormat="1" ht="12.75" hidden="1" outlineLevel="1">
      <c r="A402" s="150"/>
      <c r="B402" s="150"/>
      <c r="C402" s="151"/>
      <c r="D402" s="39"/>
      <c r="E402" s="337" t="str">
        <f>E$359</f>
        <v>Dummy ~ Other adjustment to wholesale RCV at 2020 FYE price base</v>
      </c>
      <c r="F402" s="337">
        <f>F$359</f>
        <v>0</v>
      </c>
      <c r="G402" s="337" t="str">
        <f>G$359</f>
        <v>£m</v>
      </c>
      <c r="H402" s="177"/>
      <c r="I402" s="177"/>
      <c r="J402" s="177"/>
      <c r="K402" s="177"/>
      <c r="L402" s="177"/>
      <c r="M402" s="177"/>
      <c r="N402" s="177"/>
      <c r="O402" s="177"/>
      <c r="P402" s="177"/>
      <c r="Q402" s="177"/>
      <c r="R402" s="177"/>
      <c r="S402" s="177"/>
      <c r="T402" s="177"/>
      <c r="U402" s="177"/>
    </row>
    <row r="403" spans="1:21" s="197" customFormat="1" ht="12.75" hidden="1" outlineLevel="1">
      <c r="A403" s="150"/>
      <c r="B403" s="150"/>
      <c r="C403" s="151"/>
      <c r="D403" s="39"/>
      <c r="E403" s="337" t="str">
        <f>E$360</f>
        <v>Dummy: NPV effect of 100% of proceeds from disposals of interest in land at 2020 FYE price base</v>
      </c>
      <c r="F403" s="337">
        <f>F$360</f>
        <v>0</v>
      </c>
      <c r="G403" s="337" t="str">
        <f>G$360</f>
        <v>£m</v>
      </c>
      <c r="H403" s="177"/>
      <c r="I403" s="177"/>
      <c r="J403" s="177"/>
      <c r="K403" s="177"/>
      <c r="L403" s="177"/>
      <c r="M403" s="177"/>
      <c r="N403" s="177"/>
      <c r="O403" s="177"/>
      <c r="P403" s="177"/>
      <c r="Q403" s="177"/>
      <c r="R403" s="177"/>
      <c r="S403" s="177"/>
      <c r="T403" s="177"/>
      <c r="U403" s="177"/>
    </row>
    <row r="404" spans="1:21" s="255" customFormat="1" ht="12.75" hidden="1" outlineLevel="1">
      <c r="A404" s="251"/>
      <c r="B404" s="251"/>
      <c r="C404" s="252"/>
      <c r="D404" s="253"/>
      <c r="E404" s="254" t="s">
        <v>410</v>
      </c>
      <c r="F404" s="338">
        <f>SUM(F399:F403)</f>
        <v>0</v>
      </c>
      <c r="G404" s="254" t="s">
        <v>206</v>
      </c>
      <c r="H404" s="253"/>
      <c r="I404" s="253"/>
      <c r="J404" s="253"/>
      <c r="K404" s="253"/>
      <c r="L404" s="253"/>
      <c r="M404" s="253"/>
      <c r="N404" s="253"/>
      <c r="O404" s="253"/>
      <c r="P404" s="253"/>
      <c r="Q404" s="253"/>
      <c r="R404" s="253"/>
      <c r="S404" s="253"/>
      <c r="T404" s="253"/>
      <c r="U404" s="253"/>
    </row>
    <row r="405" spans="1:7" s="4" customFormat="1" ht="12.75" hidden="1" outlineLevel="1">
      <c r="A405" s="35"/>
      <c r="B405" s="35"/>
      <c r="C405" s="34"/>
      <c r="E405" s="167"/>
      <c r="F405" s="167"/>
      <c r="G405" s="167"/>
    </row>
    <row r="406" spans="1:7" s="4" customFormat="1" ht="12.75" hidden="1" outlineLevel="1">
      <c r="A406" s="35"/>
      <c r="B406" s="35"/>
      <c r="C406" s="34"/>
      <c r="E406" s="167" t="str">
        <f>E$404</f>
        <v>Total dummy RCV at 31 March 2020 post midnight adjustments at 2020 FYE price base</v>
      </c>
      <c r="F406" s="167">
        <f>F$404</f>
        <v>0</v>
      </c>
      <c r="G406" s="167" t="str">
        <f>G$404</f>
        <v>£m</v>
      </c>
    </row>
    <row r="407" spans="1:7" s="4" customFormat="1" ht="12.75" hidden="1" outlineLevel="1">
      <c r="A407" s="35"/>
      <c r="B407" s="35"/>
      <c r="C407" s="34"/>
      <c r="E407" s="183" t="str">
        <f>Inputs!E$126</f>
        <v>% of RCV to index by RPI - dummy</v>
      </c>
      <c r="F407" s="183">
        <f>Inputs!F$126</f>
        <v>0.5</v>
      </c>
      <c r="G407" s="183" t="str">
        <f>Inputs!G$126</f>
        <v>%</v>
      </c>
    </row>
    <row r="408" spans="1:7" s="4" customFormat="1" ht="12.75" hidden="1" outlineLevel="1">
      <c r="A408" s="35"/>
      <c r="B408" s="35"/>
      <c r="C408" s="34"/>
      <c r="E408" s="39" t="s">
        <v>411</v>
      </c>
      <c r="F408" s="166">
        <f>F406*F407</f>
        <v>0</v>
      </c>
      <c r="G408" s="166" t="s">
        <v>206</v>
      </c>
    </row>
    <row r="409" spans="1:7" s="4" customFormat="1" ht="12.75" hidden="1" outlineLevel="1">
      <c r="A409" s="35"/>
      <c r="B409" s="35"/>
      <c r="C409" s="34"/>
      <c r="E409" s="167"/>
      <c r="F409" s="167"/>
      <c r="G409" s="167"/>
    </row>
    <row r="410" spans="1:7" s="4" customFormat="1" ht="12.75" hidden="1" outlineLevel="1">
      <c r="A410" s="35"/>
      <c r="B410" s="35"/>
      <c r="C410" s="34"/>
      <c r="E410" s="167" t="str">
        <f>E$404</f>
        <v>Total dummy RCV at 31 March 2020 post midnight adjustments at 2020 FYE price base</v>
      </c>
      <c r="F410" s="167">
        <f>F$404</f>
        <v>0</v>
      </c>
      <c r="G410" s="167" t="str">
        <f>G$404</f>
        <v>£m</v>
      </c>
    </row>
    <row r="411" spans="1:7" s="4" customFormat="1" ht="12.75" hidden="1" outlineLevel="1">
      <c r="A411" s="35"/>
      <c r="B411" s="35"/>
      <c r="C411" s="34"/>
      <c r="E411" s="183" t="str">
        <f>Inputs!E$126</f>
        <v>% of RCV to index by RPI - dummy</v>
      </c>
      <c r="F411" s="183">
        <f>Inputs!F$126</f>
        <v>0.5</v>
      </c>
      <c r="G411" s="183" t="str">
        <f>Inputs!G$126</f>
        <v>%</v>
      </c>
    </row>
    <row r="412" spans="1:7" s="4" customFormat="1" ht="12.75" hidden="1" outlineLevel="1">
      <c r="A412" s="35"/>
      <c r="B412" s="35"/>
      <c r="C412" s="34"/>
      <c r="E412" s="39" t="s">
        <v>412</v>
      </c>
      <c r="F412" s="166">
        <f>F410*(1-F411)</f>
        <v>0</v>
      </c>
      <c r="G412" s="166" t="s">
        <v>206</v>
      </c>
    </row>
    <row r="413" spans="1:7" s="4" customFormat="1" ht="12.75" hidden="1" outlineLevel="1">
      <c r="A413" s="35"/>
      <c r="B413" s="35"/>
      <c r="C413" s="34"/>
      <c r="E413" s="167"/>
      <c r="F413" s="167"/>
      <c r="G413" s="167"/>
    </row>
    <row r="414" spans="1:7" s="4" customFormat="1" ht="12.75" hidden="1" outlineLevel="1">
      <c r="A414" s="35"/>
      <c r="B414" s="35"/>
      <c r="C414" s="34"/>
      <c r="E414" s="167" t="str">
        <f>E$408</f>
        <v>Dummy RPI linked RCV at 2020 FYE price base</v>
      </c>
      <c r="F414" s="167">
        <f>F$408</f>
        <v>0</v>
      </c>
      <c r="G414" s="167" t="str">
        <f>G$408</f>
        <v>£m</v>
      </c>
    </row>
    <row r="415" spans="1:7" s="4" customFormat="1" ht="12.75" hidden="1" outlineLevel="1">
      <c r="A415" s="35"/>
      <c r="B415" s="35"/>
      <c r="C415" s="34"/>
      <c r="E415" s="167" t="str">
        <f>E$412</f>
        <v>Dummy CPIH linked RCV at 2020 FYE price base</v>
      </c>
      <c r="F415" s="167">
        <f>F$412</f>
        <v>0</v>
      </c>
      <c r="G415" s="167" t="str">
        <f>G$412</f>
        <v>£m</v>
      </c>
    </row>
    <row r="416" ht="4.5" customHeight="1" hidden="1" outlineLevel="1"/>
    <row r="417" spans="1:7" s="152" customFormat="1" ht="12.75" hidden="1" outlineLevel="1">
      <c r="A417" s="35"/>
      <c r="B417" s="35"/>
      <c r="C417" s="34"/>
      <c r="D417" s="4"/>
      <c r="E417" s="194" t="str">
        <f>Indexation!E$105</f>
        <v>CPIH deflate from 2020 FYE to 2018 FYA</v>
      </c>
      <c r="F417" s="194">
        <f>Indexation!F$105</f>
        <v>0.9553372113608734</v>
      </c>
      <c r="G417" s="194" t="str">
        <f>Indexation!G$105</f>
        <v>factor</v>
      </c>
    </row>
    <row r="418" ht="4.5" customHeight="1" hidden="1" outlineLevel="1"/>
    <row r="419" spans="5:7" ht="12.75" customHeight="1" hidden="1" outlineLevel="1">
      <c r="E419" s="244" t="s">
        <v>413</v>
      </c>
      <c r="F419">
        <f>F414*F$417</f>
        <v>0</v>
      </c>
      <c r="G419" t="s">
        <v>206</v>
      </c>
    </row>
    <row r="420" spans="5:7" ht="12.75" customHeight="1" hidden="1" outlineLevel="1">
      <c r="E420" s="244" t="s">
        <v>414</v>
      </c>
      <c r="F420">
        <f>F415*F$417</f>
        <v>0</v>
      </c>
      <c r="G420" t="s">
        <v>206</v>
      </c>
    </row>
    <row r="421" ht="12.75" customHeight="1" hidden="1" outlineLevel="1"/>
    <row r="422" spans="1:7" s="173" customFormat="1" ht="12.75" hidden="1" outlineLevel="1">
      <c r="A422" s="171"/>
      <c r="B422" s="171"/>
      <c r="C422" s="277"/>
      <c r="D422" s="276"/>
      <c r="E422" s="245" t="str">
        <f>E396</f>
        <v>Dummy IFRS16 RCV adjustment at 2017-18 FYA CPIH deflated price base</v>
      </c>
      <c r="F422" s="245">
        <f>F396</f>
        <v>0</v>
      </c>
      <c r="G422" s="245" t="str">
        <f>G396</f>
        <v>£m</v>
      </c>
    </row>
    <row r="423" spans="1:21" s="185" customFormat="1" ht="12.75" hidden="1" outlineLevel="1">
      <c r="A423" s="163"/>
      <c r="B423" s="163"/>
      <c r="C423" s="284"/>
      <c r="E423" s="285" t="str">
        <f>Inputs!E$126</f>
        <v>% of RCV to index by RPI - dummy</v>
      </c>
      <c r="F423" s="285">
        <f>Inputs!F$126</f>
        <v>0.5</v>
      </c>
      <c r="G423" s="285" t="str">
        <f>Inputs!G$126</f>
        <v>%</v>
      </c>
      <c r="H423" s="165"/>
      <c r="I423" s="165"/>
      <c r="J423" s="165"/>
      <c r="K423" s="165"/>
      <c r="L423" s="165"/>
      <c r="M423" s="165"/>
      <c r="N423" s="165"/>
      <c r="O423" s="165"/>
      <c r="P423" s="165"/>
      <c r="Q423" s="165"/>
      <c r="R423" s="165"/>
      <c r="S423" s="165"/>
      <c r="T423" s="165"/>
      <c r="U423" s="165"/>
    </row>
    <row r="424" spans="3:7" ht="12.75" hidden="1" outlineLevel="1">
      <c r="C424" s="272"/>
      <c r="D424" s="245"/>
      <c r="E424" s="248" t="s">
        <v>415</v>
      </c>
      <c r="F424" s="248">
        <f>F422*F423</f>
        <v>0</v>
      </c>
      <c r="G424" s="248" t="s">
        <v>206</v>
      </c>
    </row>
    <row r="425" spans="3:7" ht="12.75" hidden="1" outlineLevel="1">
      <c r="C425" s="272"/>
      <c r="D425" s="245"/>
      <c r="E425" s="248"/>
      <c r="F425" s="248"/>
      <c r="G425" s="248"/>
    </row>
    <row r="426" spans="1:7" s="173" customFormat="1" ht="12.75" hidden="1" outlineLevel="1">
      <c r="A426" s="171"/>
      <c r="B426" s="171"/>
      <c r="C426" s="277"/>
      <c r="D426" s="276"/>
      <c r="E426" s="245" t="str">
        <f>E396</f>
        <v>Dummy IFRS16 RCV adjustment at 2017-18 FYA CPIH deflated price base</v>
      </c>
      <c r="F426" s="245">
        <f>F396</f>
        <v>0</v>
      </c>
      <c r="G426" s="245" t="str">
        <f>G396</f>
        <v>£m</v>
      </c>
    </row>
    <row r="427" spans="1:21" s="185" customFormat="1" ht="12.75" hidden="1" outlineLevel="1">
      <c r="A427" s="163"/>
      <c r="B427" s="163"/>
      <c r="C427" s="284"/>
      <c r="E427" s="285" t="str">
        <f>Inputs!E$126</f>
        <v>% of RCV to index by RPI - dummy</v>
      </c>
      <c r="F427" s="285">
        <f>Inputs!F$126</f>
        <v>0.5</v>
      </c>
      <c r="G427" s="285" t="str">
        <f>Inputs!G$126</f>
        <v>%</v>
      </c>
      <c r="H427" s="165"/>
      <c r="I427" s="165"/>
      <c r="J427" s="165"/>
      <c r="K427" s="165"/>
      <c r="L427" s="165"/>
      <c r="M427" s="165"/>
      <c r="N427" s="165"/>
      <c r="O427" s="165"/>
      <c r="P427" s="165"/>
      <c r="Q427" s="165"/>
      <c r="R427" s="165"/>
      <c r="S427" s="165"/>
      <c r="T427" s="165"/>
      <c r="U427" s="165"/>
    </row>
    <row r="428" spans="3:7" ht="12.75" hidden="1" outlineLevel="1">
      <c r="C428" s="272"/>
      <c r="D428" s="245"/>
      <c r="E428" s="248" t="s">
        <v>416</v>
      </c>
      <c r="F428" s="248">
        <f>F426*(1-F427)</f>
        <v>0</v>
      </c>
      <c r="G428" s="248" t="s">
        <v>206</v>
      </c>
    </row>
    <row r="429" spans="3:7" ht="4.5" customHeight="1" hidden="1" outlineLevel="1">
      <c r="C429" s="272"/>
      <c r="D429" s="245"/>
      <c r="E429" s="244"/>
      <c r="F429" s="244"/>
      <c r="G429" s="244"/>
    </row>
    <row r="430" spans="3:7" ht="12.75" customHeight="1" hidden="1" outlineLevel="1">
      <c r="C430" s="272"/>
      <c r="D430" s="245"/>
      <c r="E430" s="244" t="str">
        <f>E419</f>
        <v>Dummy 2020 RCV RPI inflated ~ 1 April (opening balance excluding IFRS16 adjustment) at 2017-18 CPIH deflated price base</v>
      </c>
      <c r="F430" s="244">
        <f>F419</f>
        <v>0</v>
      </c>
      <c r="G430" s="244" t="str">
        <f>G419</f>
        <v>£m</v>
      </c>
    </row>
    <row r="431" spans="3:7" ht="12.75" customHeight="1" hidden="1" outlineLevel="1">
      <c r="C431" s="272"/>
      <c r="D431" s="245"/>
      <c r="E431" s="244" t="str">
        <f>E424</f>
        <v>Dummy IFRS16 adjustment RPI inflated RCV at 2017-18 FYA CPIH deflated price base</v>
      </c>
      <c r="F431" s="244">
        <f>F424</f>
        <v>0</v>
      </c>
      <c r="G431" s="244" t="str">
        <f>G424</f>
        <v>£m</v>
      </c>
    </row>
    <row r="432" spans="1:7" ht="12.75" hidden="1" outlineLevel="1">
      <c r="A432" s="173" t="s">
        <v>542</v>
      </c>
      <c r="E432" s="173" t="s">
        <v>417</v>
      </c>
      <c r="F432" s="286">
        <f>F430+F431</f>
        <v>0</v>
      </c>
      <c r="G432" s="173" t="s">
        <v>206</v>
      </c>
    </row>
    <row r="433" spans="5:7" ht="12.75" hidden="1" outlineLevel="1">
      <c r="E433" s="173"/>
      <c r="F433" s="184"/>
      <c r="G433" s="173"/>
    </row>
    <row r="434" spans="3:7" ht="12.75" customHeight="1" hidden="1" outlineLevel="1">
      <c r="C434" s="272"/>
      <c r="D434" s="245"/>
      <c r="E434" s="244" t="str">
        <f>E420</f>
        <v>Dummy 2020 RCV CPIH inflated ~ 1 April (opening balance excluding IFRS16 adjustment) at 2017-18 CPIH deflated price base</v>
      </c>
      <c r="F434" s="244">
        <f>F420</f>
        <v>0</v>
      </c>
      <c r="G434" s="244" t="str">
        <f>G420</f>
        <v>£m</v>
      </c>
    </row>
    <row r="435" spans="3:7" ht="12.75" customHeight="1" hidden="1" outlineLevel="1">
      <c r="C435" s="272"/>
      <c r="D435" s="245"/>
      <c r="E435" s="244" t="str">
        <f>E428</f>
        <v>Dummy IFRS16 adjustment CPIH inflated RCV at 2017-18 FYA CPIH deflated price base</v>
      </c>
      <c r="F435" s="244">
        <f>F428</f>
        <v>0</v>
      </c>
      <c r="G435" s="244" t="str">
        <f>G428</f>
        <v>£m</v>
      </c>
    </row>
    <row r="436" spans="1:7" ht="12.75" hidden="1" outlineLevel="1">
      <c r="A436" s="173" t="s">
        <v>543</v>
      </c>
      <c r="E436" s="173" t="s">
        <v>418</v>
      </c>
      <c r="F436" s="286">
        <f>F434+F435</f>
        <v>0</v>
      </c>
      <c r="G436" s="173" t="s">
        <v>206</v>
      </c>
    </row>
    <row r="437" spans="1:7" s="4" customFormat="1" ht="12.75" hidden="1" outlineLevel="1">
      <c r="A437" s="35"/>
      <c r="B437" s="35"/>
      <c r="C437" s="34"/>
      <c r="E437" s="167"/>
      <c r="F437" s="167"/>
      <c r="G437" s="167"/>
    </row>
  </sheetData>
  <sheetProtection/>
  <conditionalFormatting sqref="F1">
    <cfRule type="expression" priority="4" dxfId="2">
      <formula>$F$1="Notionalised"</formula>
    </cfRule>
  </conditionalFormatting>
  <conditionalFormatting sqref="G1">
    <cfRule type="expression" priority="3" dxfId="2">
      <formula>$F$1="Notionalised"</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36"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2019-01-31T17:38:48Z</dcterms:created>
  <dcterms:modified xsi:type="dcterms:W3CDTF">2019-07-16T13:26:28Z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0x0101000453F33EF2F3BA4BA1068169B005D878</vt:lpwstr>
  </property>
  <property fmtid="{D5CDD505-2E9C-101B-9397-08002B2CF9AE}" pid="3" name="MSIP_Label_0fadc02d-b84c-4fcd-86e1-6d5a6eea3ef1_Enabled">
    <vt:lpwstr>True</vt:lpwstr>
  </property>
  <property fmtid="{D5CDD505-2E9C-101B-9397-08002B2CF9AE}" pid="4" name="MSIP_Label_0fadc02d-b84c-4fcd-86e1-6d5a6eea3ef1_SiteId">
    <vt:lpwstr>92ebd22d-0a9c-4516-a68f-ba966853a8f3</vt:lpwstr>
  </property>
  <property fmtid="{D5CDD505-2E9C-101B-9397-08002B2CF9AE}" pid="5" name="MSIP_Label_0fadc02d-b84c-4fcd-86e1-6d5a6eea3ef1_Owner">
    <vt:lpwstr>lewandow@yw.co.uk</vt:lpwstr>
  </property>
  <property fmtid="{D5CDD505-2E9C-101B-9397-08002B2CF9AE}" pid="6" name="MSIP_Label_0fadc02d-b84c-4fcd-86e1-6d5a6eea3ef1_SetDate">
    <vt:lpwstr>2019-07-16T13:26:18.3860917Z</vt:lpwstr>
  </property>
  <property fmtid="{D5CDD505-2E9C-101B-9397-08002B2CF9AE}" pid="7" name="MSIP_Label_0fadc02d-b84c-4fcd-86e1-6d5a6eea3ef1_Name">
    <vt:lpwstr>Public</vt:lpwstr>
  </property>
  <property fmtid="{D5CDD505-2E9C-101B-9397-08002B2CF9AE}" pid="8" name="MSIP_Label_0fadc02d-b84c-4fcd-86e1-6d5a6eea3ef1_Application">
    <vt:lpwstr>Microsoft Azure Information Protection</vt:lpwstr>
  </property>
  <property fmtid="{D5CDD505-2E9C-101B-9397-08002B2CF9AE}" pid="9" name="MSIP_Label_0fadc02d-b84c-4fcd-86e1-6d5a6eea3ef1_ActionId">
    <vt:lpwstr>bfcdb74a-d31a-4284-81dd-19b62f6c7bde</vt:lpwstr>
  </property>
  <property fmtid="{D5CDD505-2E9C-101B-9397-08002B2CF9AE}" pid="10" name="MSIP_Label_0fadc02d-b84c-4fcd-86e1-6d5a6eea3ef1_Extended_MSFT_Method">
    <vt:lpwstr>Manual</vt:lpwstr>
  </property>
  <property fmtid="{D5CDD505-2E9C-101B-9397-08002B2CF9AE}" pid="11" name="Sensitivity">
    <vt:lpwstr>Public</vt:lpwstr>
  </property>
</Properties>
</file>